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1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</externalReferences>
  <definedNames>
    <definedName name="_xlnm.Print_Area" localSheetId="0">'1'!$B$1:$J$18</definedName>
    <definedName name="_xlnm.Print_Area" localSheetId="1">'2'!$B$1:$K$129</definedName>
    <definedName name="_xlnm.Print_Area" localSheetId="2">'3'!$A$1:$L$99</definedName>
    <definedName name="_xlnm.Print_Area" localSheetId="3">'4'!$A$1:$G$35</definedName>
    <definedName name="_xlnm.Print_Area" localSheetId="4">'5'!$A$1:$F$20</definedName>
    <definedName name="_xlnm.Print_Area" localSheetId="5">'6'!$A$1:$G$44</definedName>
  </definedNames>
  <calcPr fullCalcOnLoad="1"/>
</workbook>
</file>

<file path=xl/sharedStrings.xml><?xml version="1.0" encoding="utf-8"?>
<sst xmlns="http://schemas.openxmlformats.org/spreadsheetml/2006/main" count="862" uniqueCount="561">
  <si>
    <t>ZMIANA PLANU WYDATKÓW GMINY MIŁKOWICE NA ROK 2009</t>
  </si>
  <si>
    <t>Dział</t>
  </si>
  <si>
    <t>Rozdział</t>
  </si>
  <si>
    <t>Paragraf</t>
  </si>
  <si>
    <t>Treść</t>
  </si>
  <si>
    <t>Przed zmianą</t>
  </si>
  <si>
    <t>Po zmianie</t>
  </si>
  <si>
    <t>010</t>
  </si>
  <si>
    <t>Rolnictwo i łowiectwo</t>
  </si>
  <si>
    <t>898 621,38</t>
  </si>
  <si>
    <t>698 087,38</t>
  </si>
  <si>
    <t>01008</t>
  </si>
  <si>
    <t>Melioracje wodne</t>
  </si>
  <si>
    <t>133 544,00</t>
  </si>
  <si>
    <t>133 010,00</t>
  </si>
  <si>
    <t>3020</t>
  </si>
  <si>
    <t>Wydatki osobowe niezaliczone do wynagrodzeń</t>
  </si>
  <si>
    <t>350,00</t>
  </si>
  <si>
    <t>- 350,00</t>
  </si>
  <si>
    <t>0,00</t>
  </si>
  <si>
    <t>4040</t>
  </si>
  <si>
    <t>Dodatkowe wynagrodzenie roczne</t>
  </si>
  <si>
    <t>3 253,00</t>
  </si>
  <si>
    <t>- 15,00</t>
  </si>
  <si>
    <t>3 238,00</t>
  </si>
  <si>
    <t>4300</t>
  </si>
  <si>
    <t>Zakup usług pozostałych</t>
  </si>
  <si>
    <t>104 500,00</t>
  </si>
  <si>
    <t>104 331,00</t>
  </si>
  <si>
    <t>01010</t>
  </si>
  <si>
    <t>Infrastruktura wodociągowa i sanitacyjna wsi</t>
  </si>
  <si>
    <t>607 020,00</t>
  </si>
  <si>
    <t>- 200 000,00</t>
  </si>
  <si>
    <t>407 020,00</t>
  </si>
  <si>
    <t>6050</t>
  </si>
  <si>
    <t>Wydatki inwestycyjne jednostek budżetowych</t>
  </si>
  <si>
    <t>501 700,00</t>
  </si>
  <si>
    <t>301 700,00</t>
  </si>
  <si>
    <t>400</t>
  </si>
  <si>
    <t>Wytwarzanie i zaopatrywanie w energię elektryczną, gaz i wodę</t>
  </si>
  <si>
    <t>1 542 101,00</t>
  </si>
  <si>
    <t>1 562 901,00</t>
  </si>
  <si>
    <t>40002</t>
  </si>
  <si>
    <t>Dostarczanie wody</t>
  </si>
  <si>
    <t>2650</t>
  </si>
  <si>
    <t>Dotacja przedmiotowa z budżetu dla zakładu budżetowego</t>
  </si>
  <si>
    <t>672 101,00</t>
  </si>
  <si>
    <t>40 800,00</t>
  </si>
  <si>
    <t>712 901,00</t>
  </si>
  <si>
    <t>4260</t>
  </si>
  <si>
    <t>Zakup energii</t>
  </si>
  <si>
    <t>870 000,00</t>
  </si>
  <si>
    <t>- 20 000,00</t>
  </si>
  <si>
    <t>850 000,00</t>
  </si>
  <si>
    <t>600</t>
  </si>
  <si>
    <t>Transport i łączność</t>
  </si>
  <si>
    <t>1 776 503,00</t>
  </si>
  <si>
    <t>1 772 022,00</t>
  </si>
  <si>
    <t>60014</t>
  </si>
  <si>
    <t>Drogi publiczne powiatowe</t>
  </si>
  <si>
    <t>139 072,00</t>
  </si>
  <si>
    <t>- 5 000,00</t>
  </si>
  <si>
    <t>134 072,00</t>
  </si>
  <si>
    <t>4270</t>
  </si>
  <si>
    <t>Zakup usług remontowych</t>
  </si>
  <si>
    <t>5 000,00</t>
  </si>
  <si>
    <t>60016</t>
  </si>
  <si>
    <t>Drogi publiczne gminne</t>
  </si>
  <si>
    <t>1 637 431,00</t>
  </si>
  <si>
    <t>519,00</t>
  </si>
  <si>
    <t>1 637 950,00</t>
  </si>
  <si>
    <t>4170</t>
  </si>
  <si>
    <t>Wynagrodzenia bezosobowe</t>
  </si>
  <si>
    <t>23 481,00</t>
  </si>
  <si>
    <t>24 000,00</t>
  </si>
  <si>
    <t>700</t>
  </si>
  <si>
    <t>Gospodarka mieszkaniowa</t>
  </si>
  <si>
    <t>284 749,00</t>
  </si>
  <si>
    <t>303 446,00</t>
  </si>
  <si>
    <t>70005</t>
  </si>
  <si>
    <t>Gospodarka gruntami i nieruchomościami</t>
  </si>
  <si>
    <t>268 749,00</t>
  </si>
  <si>
    <t>18 587,00</t>
  </si>
  <si>
    <t>287 336,00</t>
  </si>
  <si>
    <t>4530</t>
  </si>
  <si>
    <t>Podatek od towarów i usług (VAT).</t>
  </si>
  <si>
    <t>162 473,00</t>
  </si>
  <si>
    <t>181 060,00</t>
  </si>
  <si>
    <t>70095</t>
  </si>
  <si>
    <t>Pozostała działalność</t>
  </si>
  <si>
    <t>16 000,00</t>
  </si>
  <si>
    <t>110,00</t>
  </si>
  <si>
    <t>16 110,00</t>
  </si>
  <si>
    <t>5 400,00</t>
  </si>
  <si>
    <t>750</t>
  </si>
  <si>
    <t>Administracja publiczna</t>
  </si>
  <si>
    <t>2 027 238,00</t>
  </si>
  <si>
    <t>2 006 605,00</t>
  </si>
  <si>
    <t>75022</t>
  </si>
  <si>
    <t>Rady gmin (miast i miast na prawach powiatu)</t>
  </si>
  <si>
    <t>72 000,00</t>
  </si>
  <si>
    <t>- 3 300,00</t>
  </si>
  <si>
    <t>68 700,00</t>
  </si>
  <si>
    <t>3030</t>
  </si>
  <si>
    <t xml:space="preserve">Różne wydatki na rzecz osób fizycznych </t>
  </si>
  <si>
    <t>64 000,00</t>
  </si>
  <si>
    <t>60 700,00</t>
  </si>
  <si>
    <t>75023</t>
  </si>
  <si>
    <t>Urzędy gmin (miast i miast na prawach powiatu)</t>
  </si>
  <si>
    <t>1 806 101,00</t>
  </si>
  <si>
    <t>1 791 768,00</t>
  </si>
  <si>
    <t>77 213,00</t>
  </si>
  <si>
    <t>- 270,00</t>
  </si>
  <si>
    <t>76 943,00</t>
  </si>
  <si>
    <t>4110</t>
  </si>
  <si>
    <t>Składki na ubezpieczenia społeczne</t>
  </si>
  <si>
    <t>175 223,00</t>
  </si>
  <si>
    <t>- 10 233,00</t>
  </si>
  <si>
    <t>164 990,00</t>
  </si>
  <si>
    <t>4120</t>
  </si>
  <si>
    <t>Składki na Fundusz Pracy</t>
  </si>
  <si>
    <t>30 030,00</t>
  </si>
  <si>
    <t>- 3 030,00</t>
  </si>
  <si>
    <t>27 000,00</t>
  </si>
  <si>
    <t>129 700,00</t>
  </si>
  <si>
    <t>126 700,00</t>
  </si>
  <si>
    <t>4380</t>
  </si>
  <si>
    <t>Zakup usług obejmujacych tłumaczenia</t>
  </si>
  <si>
    <t>300,00</t>
  </si>
  <si>
    <t>- 300,00</t>
  </si>
  <si>
    <t>4390</t>
  </si>
  <si>
    <t>Zakup usług obejmujących wykonanie ekspertyz, analiz i opinii</t>
  </si>
  <si>
    <t>500,00</t>
  </si>
  <si>
    <t>- 500,00</t>
  </si>
  <si>
    <t>4750</t>
  </si>
  <si>
    <t>Zakup akcesoriów komputerowych, w tym programów i licencji</t>
  </si>
  <si>
    <t>36 800,00</t>
  </si>
  <si>
    <t>3 000,00</t>
  </si>
  <si>
    <t>39 800,00</t>
  </si>
  <si>
    <t>75075</t>
  </si>
  <si>
    <t>Promocja jednostek samorządu terytorialnego</t>
  </si>
  <si>
    <t>57 665,00</t>
  </si>
  <si>
    <t>4210</t>
  </si>
  <si>
    <t>Zakup materiałów i wyposażenia</t>
  </si>
  <si>
    <t>2 200,00</t>
  </si>
  <si>
    <t>- 1 400,00</t>
  </si>
  <si>
    <t>800,00</t>
  </si>
  <si>
    <t>4410</t>
  </si>
  <si>
    <t>Podróże służbowe krajowe</t>
  </si>
  <si>
    <t>2 000,00</t>
  </si>
  <si>
    <t>1 400,00</t>
  </si>
  <si>
    <t>3 400,00</t>
  </si>
  <si>
    <t>75095</t>
  </si>
  <si>
    <t>22 350,00</t>
  </si>
  <si>
    <t>19 350,00</t>
  </si>
  <si>
    <t>6 000,00</t>
  </si>
  <si>
    <t>801</t>
  </si>
  <si>
    <t>Oświata i wychowanie</t>
  </si>
  <si>
    <t>4 231 472,00</t>
  </si>
  <si>
    <t>4 231 732,00</t>
  </si>
  <si>
    <t>80104</t>
  </si>
  <si>
    <t xml:space="preserve">Przedszkola </t>
  </si>
  <si>
    <t>63 874,00</t>
  </si>
  <si>
    <t>64 134,00</t>
  </si>
  <si>
    <t>1 650,00</t>
  </si>
  <si>
    <t>- 1 040,00</t>
  </si>
  <si>
    <t>610,00</t>
  </si>
  <si>
    <t>1 000,00</t>
  </si>
  <si>
    <t>1 260,00</t>
  </si>
  <si>
    <t>9 600,00</t>
  </si>
  <si>
    <t>10 640,00</t>
  </si>
  <si>
    <t>851</t>
  </si>
  <si>
    <t>Ochrona zdrowia</t>
  </si>
  <si>
    <t>1 377 891,63</t>
  </si>
  <si>
    <t>- 300 000,00</t>
  </si>
  <si>
    <t>1 077 891,63</t>
  </si>
  <si>
    <t>85121</t>
  </si>
  <si>
    <t>Lecznictwo ambulatoryjne</t>
  </si>
  <si>
    <t>1 310 324,00</t>
  </si>
  <si>
    <t>1 010 324,00</t>
  </si>
  <si>
    <t>1 300 324,00</t>
  </si>
  <si>
    <t>1 000 324,00</t>
  </si>
  <si>
    <t>852</t>
  </si>
  <si>
    <t>Pomoc społeczna</t>
  </si>
  <si>
    <t>3 002 827,87</t>
  </si>
  <si>
    <t>2 997 203,87</t>
  </si>
  <si>
    <t>85202</t>
  </si>
  <si>
    <t>Domy pomocy społecznej</t>
  </si>
  <si>
    <t>15 381,25</t>
  </si>
  <si>
    <t>- 1 000,00</t>
  </si>
  <si>
    <t>14 381,25</t>
  </si>
  <si>
    <t>4330</t>
  </si>
  <si>
    <t>Zakup usług przez jednostki samorządu terytorialnego od innych jednostek samorządu terytorialnego</t>
  </si>
  <si>
    <t>85215</t>
  </si>
  <si>
    <t>Dodatki mieszkaniowe</t>
  </si>
  <si>
    <t>36 230,00</t>
  </si>
  <si>
    <t>- 3 400,00</t>
  </si>
  <si>
    <t>32 830,00</t>
  </si>
  <si>
    <t>3110</t>
  </si>
  <si>
    <t>Świadczenia społeczne</t>
  </si>
  <si>
    <t>85219</t>
  </si>
  <si>
    <t>Ośrodki pomocy społecznej</t>
  </si>
  <si>
    <t>621 560,62</t>
  </si>
  <si>
    <t>620 336,62</t>
  </si>
  <si>
    <t>4010</t>
  </si>
  <si>
    <t>Wynagrodzenia osobowe pracowników</t>
  </si>
  <si>
    <t>399 425,00</t>
  </si>
  <si>
    <t>1 946,00</t>
  </si>
  <si>
    <t>401 371,00</t>
  </si>
  <si>
    <t>9 000,00</t>
  </si>
  <si>
    <t>- 2 000,00</t>
  </si>
  <si>
    <t>7 000,00</t>
  </si>
  <si>
    <t>4280</t>
  </si>
  <si>
    <t>Zakup usług zdrowotnych</t>
  </si>
  <si>
    <t>- 470,00</t>
  </si>
  <si>
    <t>30,00</t>
  </si>
  <si>
    <t>4740</t>
  </si>
  <si>
    <t>Zakup materiałów papierniczych do sprzętu drukarskiego i urządzeń kserograficznych</t>
  </si>
  <si>
    <t>- 400,00</t>
  </si>
  <si>
    <t>600,00</t>
  </si>
  <si>
    <t>854</t>
  </si>
  <si>
    <t>Edukacyjna opieka wychowawcza</t>
  </si>
  <si>
    <t>174 054,00</t>
  </si>
  <si>
    <t>- 3 600,00</t>
  </si>
  <si>
    <t>170 454,00</t>
  </si>
  <si>
    <t>85404</t>
  </si>
  <si>
    <t>Wczesne wspomaganie rozwoju dziecka</t>
  </si>
  <si>
    <t>3 600,00</t>
  </si>
  <si>
    <t>900</t>
  </si>
  <si>
    <t>Gospodarka komunalna i ochrona środowiska</t>
  </si>
  <si>
    <t>524 087,00</t>
  </si>
  <si>
    <t>521 487,00</t>
  </si>
  <si>
    <t>90008</t>
  </si>
  <si>
    <t>Ochrona różnorodności biologicznej i krajobrazu</t>
  </si>
  <si>
    <t>20 860,00</t>
  </si>
  <si>
    <t>18 260,00</t>
  </si>
  <si>
    <t>1 200,00</t>
  </si>
  <si>
    <t>- 3 800,00</t>
  </si>
  <si>
    <t>921</t>
  </si>
  <si>
    <t>Kultura i ochrona dziedzictwa narodowego</t>
  </si>
  <si>
    <t>495 660,00</t>
  </si>
  <si>
    <t>496 980,00</t>
  </si>
  <si>
    <t>92109</t>
  </si>
  <si>
    <t>Domy i ośrodki kultury, świetlice i kluby</t>
  </si>
  <si>
    <t>235 800,00</t>
  </si>
  <si>
    <t>237 120,00</t>
  </si>
  <si>
    <t>47 200,00</t>
  </si>
  <si>
    <t>- 1 800,00</t>
  </si>
  <si>
    <t>45 400,00</t>
  </si>
  <si>
    <t>3 120,00</t>
  </si>
  <si>
    <t>926</t>
  </si>
  <si>
    <t>Kultura fizyczna i sport</t>
  </si>
  <si>
    <t>618 954,00</t>
  </si>
  <si>
    <t>2 600,00</t>
  </si>
  <si>
    <t>621 554,00</t>
  </si>
  <si>
    <t>92601</t>
  </si>
  <si>
    <t>Obiekty sportowe</t>
  </si>
  <si>
    <t>512 454,00</t>
  </si>
  <si>
    <t>515 054,00</t>
  </si>
  <si>
    <t>13 804,00</t>
  </si>
  <si>
    <t>16 404,00</t>
  </si>
  <si>
    <t>Razem:</t>
  </si>
  <si>
    <t>17 742 663,88</t>
  </si>
  <si>
    <t>17 248 868,88</t>
  </si>
  <si>
    <t>wynagrodzenia i pochodne</t>
  </si>
  <si>
    <t>pozostałe wydatki bieżące</t>
  </si>
  <si>
    <r>
      <t xml:space="preserve">wydatki majątkowe: </t>
    </r>
    <r>
      <rPr>
        <i/>
        <sz val="8.25"/>
        <color indexed="8"/>
        <rFont val="Arial"/>
        <family val="2"/>
      </rPr>
      <t>Budowa sieci kanalizacji sanitarnej i wodociągowej w Miłkowicach w obrębie ulic: 15 Sierpnia, 11 Listopada, Konstytucji 3 Maja"</t>
    </r>
  </si>
  <si>
    <t>dotacje z budżetu (dotacja przedmiotowa do wody 22.100zł, do ścieków 18.700zł)</t>
  </si>
  <si>
    <t>pozostałe wydatki bieżące (zakup wody od LPWiK)</t>
  </si>
  <si>
    <t>Zmniejszenie</t>
  </si>
  <si>
    <t>Zwiększenie</t>
  </si>
  <si>
    <r>
      <t xml:space="preserve">wydatki majątkowe: </t>
    </r>
    <r>
      <rPr>
        <i/>
        <sz val="8.25"/>
        <color indexed="8"/>
        <rFont val="Arial"/>
        <family val="2"/>
      </rPr>
      <t>Budowa Gminnego Ośrodka Zdrowia w Miłkowicach wraz z zakupem wyposażenia i zagospodarowaniem placu</t>
    </r>
  </si>
  <si>
    <t>90078</t>
  </si>
  <si>
    <t>Usuwanie skutków klęsk żywiołowych</t>
  </si>
  <si>
    <t>758</t>
  </si>
  <si>
    <t>Różne rozliczenia</t>
  </si>
  <si>
    <t>5 016 217,00</t>
  </si>
  <si>
    <t>4 259,00</t>
  </si>
  <si>
    <t>75801</t>
  </si>
  <si>
    <t>Część oświatowa subwencji ogólnej dla jednostek samorządu terytorialnego</t>
  </si>
  <si>
    <t>3 418 686,00</t>
  </si>
  <si>
    <t>3 422 945,00</t>
  </si>
  <si>
    <t>2920</t>
  </si>
  <si>
    <t>Subwencje ogólne z budżetu państwa</t>
  </si>
  <si>
    <t>2 337 049,87</t>
  </si>
  <si>
    <t>2 338 995,87</t>
  </si>
  <si>
    <t>161 000,00</t>
  </si>
  <si>
    <t>162 946,00</t>
  </si>
  <si>
    <t>2030</t>
  </si>
  <si>
    <t>Dotacje celowe otrzymane z budżetu państwa na realizację własnych zadań bieżących gmin (związków gmin)</t>
  </si>
  <si>
    <t>14 228 234,88</t>
  </si>
  <si>
    <t>Strona 1 z 1</t>
  </si>
  <si>
    <t>ZMIANA PLANU DOCHODÓW GMINY MIŁKOWICE NA ROK 2009</t>
  </si>
  <si>
    <t>Wykaz zadań inwestycyjnych na 2009 rok</t>
  </si>
  <si>
    <t>w złotych</t>
  </si>
  <si>
    <t>Lp.</t>
  </si>
  <si>
    <t>Nazwa zadania inwestycyjnego</t>
  </si>
  <si>
    <t>Termin realizacji</t>
  </si>
  <si>
    <t xml:space="preserve">Łączne koszty finansowe </t>
  </si>
  <si>
    <t>Planowane wydatki w roku 2009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</si>
  <si>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</si>
  <si>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</si>
  <si>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</si>
  <si>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</si>
  <si>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</si>
  <si>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</si>
  <si>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</si>
  <si>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</si>
  <si>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</si>
  <si>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</si>
  <si>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</si>
  <si>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</si>
  <si>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2007-2010</t>
  </si>
  <si>
    <t>Urząd Gminy   Miłkowice</t>
  </si>
  <si>
    <t xml:space="preserve">Budowa kanalizacji sanitarnej wraz z przyłączami dla miejscowości Gniewomirowice i Goślinów </t>
  </si>
  <si>
    <t>Rozbudowa gminnej sieci wodociągowej w Lipcach</t>
  </si>
  <si>
    <t>2008-2009</t>
  </si>
  <si>
    <t>w tym dotacja dla GZGK 50.000zł</t>
  </si>
  <si>
    <t>GZGK    w Miłkowicach</t>
  </si>
  <si>
    <t>Rozbudowa gminnej sieci wodociągowej w Kochlicach</t>
  </si>
  <si>
    <t>2008-2010</t>
  </si>
  <si>
    <t>w tym dotacja dla GZGK 5.320zł</t>
  </si>
  <si>
    <t>Budowa kanalizacji sanitarnej przy ul. Leśnej w Rzeszotarach</t>
  </si>
  <si>
    <t>w tym dotacja dla GZGK  30.000zł</t>
  </si>
  <si>
    <t>Pożyczka i dotacja z WFOŚIGW</t>
  </si>
  <si>
    <t>Rozbudowa kanalizacji sanitarnej w Dobrzejowie</t>
  </si>
  <si>
    <t>2009-2010</t>
  </si>
  <si>
    <t>Rozbudowa kanalizacji sanitarnej w Grzymalinie</t>
  </si>
  <si>
    <t>Budowa sieci kanalizacji sanitarnej i wodociągowej w Miłkowicach w obrębie ulic: 15 Sierpnia, 11 Listopada, Konstytucji 3 Maja"</t>
  </si>
  <si>
    <t>Dotacja (23.400zł) z WFOŚ i wpłaty ludności 94.000zł</t>
  </si>
  <si>
    <t>Budowa wodociągu tranzytowego Niedźwiedzice-Miłkowice i udział w budowie Stacji Uzdatniania Wody w Okmianach</t>
  </si>
  <si>
    <t>w tym dotacja dla Gminy Chojnów 20.000zł</t>
  </si>
  <si>
    <t>UG Miłkowice i Gm. Chojnów</t>
  </si>
  <si>
    <t>Dział 600 : TRANSPORT I ŁĄCZNOŚĆ</t>
  </si>
  <si>
    <t xml:space="preserve">       Rozdział 60016 : Drogi publiczne gminne</t>
  </si>
  <si>
    <t>Remont dróg osiedlowych w Miłkowicach (ul. 22-Lipca)</t>
  </si>
  <si>
    <t>2008-2011</t>
  </si>
  <si>
    <t xml:space="preserve">Budowa drogi asfaltowej w Ulesiu - droga do obwodnicy </t>
  </si>
  <si>
    <t>Remont drogi równoległej do ul. Legnickiej w Rzeszotarach</t>
  </si>
  <si>
    <t>Remont dróg transportu rolnego w Studnicy</t>
  </si>
  <si>
    <t>dotacja z TFOGR</t>
  </si>
  <si>
    <t xml:space="preserve">Remont dróg transportu rolnego w Miłkowicach </t>
  </si>
  <si>
    <t>Remont dróg transportu rolnego w Grzymalinie ul. Błotna</t>
  </si>
  <si>
    <t>Remont dróg transportu rolnego w Siedliskach</t>
  </si>
  <si>
    <t>2007-2009</t>
  </si>
  <si>
    <t>Remont drogi transportu rolnego w Rzeszotarach ul. Cegielniana)</t>
  </si>
  <si>
    <t>Remont drogi transportu rolnego w Kochlicach</t>
  </si>
  <si>
    <t>Dział 700 : GOSPODARKA MIESZKANIOWA</t>
  </si>
  <si>
    <t>Rozdział 70005 : Gospodarka gruntami i nieruchomościami</t>
  </si>
  <si>
    <t>Utworzenie Strefy Aktywności Gosp. w Rzeszotarach</t>
  </si>
  <si>
    <t xml:space="preserve">Wykup gruntów, na których posadowione są przepompownie ścieków </t>
  </si>
  <si>
    <t>Dział 754: BEZPIECZEŃSTWO PUBLICZNE I OCHRONA PRZECIWPOŻAROWA</t>
  </si>
  <si>
    <t>Rozdział 75404 : Komendy wojewódzkie Policji</t>
  </si>
  <si>
    <t xml:space="preserve">Dofinansowanie zakupu radiowozu dla Policji </t>
  </si>
  <si>
    <t>Rozdział 75412 : Ochotnicze straże pożarne</t>
  </si>
  <si>
    <t>Remont i modernizacja remizy w OSP Rzeszotary</t>
  </si>
  <si>
    <t>Remont i modernizacja remizy w OSP Grzymalin</t>
  </si>
  <si>
    <t>Zakup sprzetu ratowniczego dla jednostki OSP Miłkowice</t>
  </si>
  <si>
    <t>Zakup Torby PSP-R1 dla OSP Miłkowice</t>
  </si>
  <si>
    <t>Rozdział 75421 : Zarządzanie kryzysowe</t>
  </si>
  <si>
    <t>Zakup agregatu prądotwórczego</t>
  </si>
  <si>
    <t>Dział 801: OŚWIATA I WYCHOWANIE</t>
  </si>
  <si>
    <t>Rozdział 80113 : Dowóz uczniów do szkół</t>
  </si>
  <si>
    <t>dotacja celowa na dofinans. inwestycji</t>
  </si>
  <si>
    <t>Remont i modernizacja autobusu gminnego</t>
  </si>
  <si>
    <t>kredyty
i pożyczki</t>
  </si>
  <si>
    <t>dotacje i śr. z innych źródeł</t>
  </si>
  <si>
    <t>Rozdział 80195 : Pozostała działalność</t>
  </si>
  <si>
    <t>Remont pokrycia dachowego w SP w Miłkowicach</t>
  </si>
  <si>
    <t>Remont pokrycia dachowego w SP w Miłkowicach (mały budynek)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</si>
  <si>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</si>
  <si>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</si>
  <si>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</si>
  <si>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Obligacje komunalne</t>
  </si>
  <si>
    <t>Remont i modernizacja Punktu Lekarskiego w Rzeszotarach wraz z doposażeniem w sprzęt medyczny</t>
  </si>
  <si>
    <t>Gm. Ośrodek Zdrowia</t>
  </si>
  <si>
    <t>Dział 900 : GOSPODARKA KOMUNALNA I OCHRONA ŚRODOWISKA</t>
  </si>
  <si>
    <t>Rozdział  90002: Gospodarka odpadami</t>
  </si>
  <si>
    <t>Zakup pojemników do selektywnej zbiórki odpadów</t>
  </si>
  <si>
    <t>Dotacja celowa na dofinans. inw.</t>
  </si>
  <si>
    <t>Rozdział  90005: Ochrona powietrza atmosferycznego i klimatu</t>
  </si>
  <si>
    <t>Budowa kotłowni ekologicznej dla kompleksu budynków publicznych w Miłkowicach</t>
  </si>
  <si>
    <t>Rozdział  90008: Ochrona różnorodności biologicznej i krajobrazu</t>
  </si>
  <si>
    <t>Inwentaryzacja zasobów przyrodniczych gm. Miłkowice</t>
  </si>
  <si>
    <t>Dotacja z WFOŚIGW</t>
  </si>
  <si>
    <t>Rozdział  90095: Pozostała działalność</t>
  </si>
  <si>
    <t>Starostwo Powiatowe w Lubinie</t>
  </si>
  <si>
    <t>Budowa schroniska dla bezdomnych zwierząt - partycypacja</t>
  </si>
  <si>
    <t>Dotacja celowa na dofinans. inwestycji</t>
  </si>
  <si>
    <t>Dział 921 : KULTURA I OCHRONA DZIEDZICTWA NARODOWEGO</t>
  </si>
  <si>
    <t>Rozdział  92109: Domy i ośrodki kultury, świetlice i kluby</t>
  </si>
  <si>
    <t>GOKiS   w Miłkowicach</t>
  </si>
  <si>
    <t>Zakup pięciu podestów scenicznych</t>
  </si>
  <si>
    <t>Dotacja celowa na dofinans. zakupów inwestycji</t>
  </si>
  <si>
    <t>Utworzenie Centrum Edukacyjno-Kulturalnego w miejscowości Ulesie</t>
  </si>
  <si>
    <t xml:space="preserve">Utworzenie świetlicy wiejskiej z segmentów kontenerowych w Goślinowie </t>
  </si>
  <si>
    <t>Remont remizy oraz świetlicy w Rzeszotarach</t>
  </si>
  <si>
    <t>Adaptacja zaplecza świetlicy wiejskiej w Ulesiu na kotłownię oraz modernizacja instalacji c.o.</t>
  </si>
  <si>
    <t>Rozdział  92116: Biblioteki</t>
  </si>
  <si>
    <t>Zmiana sposobu użytkowania i modernizacja budynku po byłej stołówce w Miłkowicach z przeznaczeniem na bibliotekę, czytelnię internetową i świetlicę</t>
  </si>
  <si>
    <t>Dział 926 : KULTURA FIZYCZNA I SPORT</t>
  </si>
  <si>
    <t>Rozdział  92601: Obiekty sportowe</t>
  </si>
  <si>
    <t>Budowa zespołu boisk i urządzeń sportowych z modułowym systemowym budynkiem zaplecza boisk ORLIK 2012 w Miłkowicach</t>
  </si>
  <si>
    <t>Przebudowa obiektu sportowego w Miłkowicach</t>
  </si>
  <si>
    <t>Zakup traktorka do pielęgnacji sztucznej trawy na boisku ORLIK 2012</t>
  </si>
  <si>
    <t>Razem wydatki inwestycyjne:</t>
  </si>
  <si>
    <t>PLAN PRZYCHODÓW I ROZCHODÓW</t>
  </si>
  <si>
    <t>związanych z finansowaniem niedoboru i rozdysponowaniem                                    nadwyżki budżetowej</t>
  </si>
  <si>
    <t>DOCHODY  BUDŻETU GMINY</t>
  </si>
  <si>
    <t>zł</t>
  </si>
  <si>
    <t>WYDATKI  BUDŻETU GMINY</t>
  </si>
  <si>
    <t>KWOTA DEFICYTU BUDŻETOWEGO</t>
  </si>
  <si>
    <t>Rozdysponowanie przychodów i rozchodów</t>
  </si>
  <si>
    <t>§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</si>
  <si>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</si>
  <si>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</si>
  <si>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</si>
  <si>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</si>
  <si>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</si>
  <si>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</si>
  <si>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</si>
  <si>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</si>
  <si>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</si>
  <si>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</si>
  <si>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</si>
  <si>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</si>
  <si>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</si>
  <si>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</si>
  <si>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</si>
  <si>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</si>
  <si>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</si>
  <si>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</si>
  <si>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</si>
  <si>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</si>
  <si>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</si>
  <si>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</si>
  <si>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</si>
  <si>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</si>
  <si>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</si>
  <si>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</si>
  <si>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</si>
  <si>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</si>
  <si>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</si>
  <si>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</si>
  <si>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</si>
  <si>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</si>
  <si>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</si>
  <si>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</si>
  <si>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</si>
  <si>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</si>
  <si>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</si>
  <si>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</si>
  <si>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</si>
  <si>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</si>
  <si>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</si>
  <si>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</si>
  <si>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</si>
  <si>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</si>
  <si>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PLAN PRZYCHODÓW I WYDATKÓW RACHUNKU DOCHODÓW WŁASNYCH</t>
  </si>
  <si>
    <t>PLACÓWEK OŚWIATOWYCH W GMINIE MIŁKOWICE</t>
  </si>
  <si>
    <t>NA ROK 2009</t>
  </si>
  <si>
    <t>DZIAŁ</t>
  </si>
  <si>
    <t>ROZDZIAŁ</t>
  </si>
  <si>
    <t>WYSZCZEGÓLNIENIE</t>
  </si>
  <si>
    <t>BO</t>
  </si>
  <si>
    <t>DOCHODY</t>
  </si>
  <si>
    <t>WYDATKI</t>
  </si>
  <si>
    <t>BZ</t>
  </si>
  <si>
    <t>80101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</si>
  <si>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</si>
  <si>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</si>
  <si>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</si>
  <si>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</si>
  <si>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</si>
  <si>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Razem 80101:</t>
  </si>
  <si>
    <t>80110</t>
  </si>
  <si>
    <t xml:space="preserve">0970 - pozostałe dochody </t>
  </si>
  <si>
    <t>4210 - zakup materiałów i wyposażenia</t>
  </si>
  <si>
    <t>4220 - zakup artykułów żywnościowych</t>
  </si>
  <si>
    <t>4240 - zakup pomocy dydakt., książek</t>
  </si>
  <si>
    <t>4300 - zakup pozostałych usług</t>
  </si>
  <si>
    <t>4270 - zakup usług remontowych</t>
  </si>
  <si>
    <t>OGÓŁEM</t>
  </si>
  <si>
    <t>BO + Dochody</t>
  </si>
  <si>
    <t>BZ + Wydatki</t>
  </si>
  <si>
    <t>Dotacje przedmiotowe w 2009 r.</t>
  </si>
  <si>
    <t>Nazwa jednostki
 otrzymującej dotację</t>
  </si>
  <si>
    <t>Zakres</t>
  </si>
  <si>
    <t>Ogółem kwota brutto dotacji</t>
  </si>
  <si>
    <t>Gminny Zakład Gospodarki komunalnej w Miłkowicach</t>
  </si>
  <si>
    <t>dotacja 71,80zł do 1 szt pojemnika na opakowania z tworzyw sztucznych typu PET</t>
  </si>
  <si>
    <t>Ogółem</t>
  </si>
  <si>
    <t>sporz. Renata Matusiewicz</t>
  </si>
  <si>
    <r>
      <t xml:space="preserve">dotacja 1,25zł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wody zakupionej przez gospodarstwa domowe</t>
    </r>
  </si>
  <si>
    <r>
      <t xml:space="preserve">dotacja 2,00zł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wody zakupionej przez gospodarstwa domowe</t>
    </r>
  </si>
  <si>
    <r>
      <t xml:space="preserve">dotacja 3,32zł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ścieków odprowadzonych przez gospodarstwa domowe</t>
    </r>
  </si>
  <si>
    <r>
      <t xml:space="preserve">dotacja 1,58zł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ścieków odprowadzonych przez gospodarstwa domowe</t>
    </r>
  </si>
  <si>
    <r>
      <t xml:space="preserve">dotacja 0,63zł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cmentarzy</t>
    </r>
  </si>
  <si>
    <r>
      <t xml:space="preserve">dotacja 7,42zł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lokali mieszkalnych</t>
    </r>
  </si>
  <si>
    <r>
      <t>dotacja 3,24zł do 1 km</t>
    </r>
    <r>
      <rPr>
        <sz val="10"/>
        <rFont val="Arial CE"/>
        <family val="0"/>
      </rPr>
      <t xml:space="preserve"> przewozu uczniów do szkół</t>
    </r>
  </si>
  <si>
    <r>
      <t>dotacja 1,31zł do 1 m</t>
    </r>
    <r>
      <rPr>
        <vertAlign val="superscript"/>
        <sz val="10"/>
        <rFont val="Arial CE"/>
        <family val="0"/>
      </rPr>
      <t xml:space="preserve"> 2</t>
    </r>
    <r>
      <rPr>
        <sz val="10"/>
        <rFont val="Arial CE"/>
        <family val="2"/>
      </rPr>
      <t xml:space="preserve"> powierzchni wysypiska</t>
    </r>
  </si>
  <si>
    <t>4430 - różne opłaty i składki</t>
  </si>
  <si>
    <t>303 451,38</t>
  </si>
  <si>
    <t>51 224,61</t>
  </si>
  <si>
    <t>354 675,99</t>
  </si>
  <si>
    <t>01095</t>
  </si>
  <si>
    <t>151 051,38</t>
  </si>
  <si>
    <t>202 275,99</t>
  </si>
  <si>
    <t>2010</t>
  </si>
  <si>
    <t>Dotacje celowe otrzymane z budżetu państwa na realizację zadań bieżących z zakresu administracji rządowej oraz innych zadań zleconych gminie (związkom gmin) ustawami</t>
  </si>
  <si>
    <t>142 051,38</t>
  </si>
  <si>
    <t>193 275,99</t>
  </si>
  <si>
    <t>54 155,00</t>
  </si>
  <si>
    <t>5 070 372,00</t>
  </si>
  <si>
    <t>75802</t>
  </si>
  <si>
    <t>Uzupełnienie subwencji ogólnej dla jednostek samorządu terytorialnego</t>
  </si>
  <si>
    <t>49 896,00</t>
  </si>
  <si>
    <t>2750</t>
  </si>
  <si>
    <t>Środki na uzupełnienie dochodów gmin</t>
  </si>
  <si>
    <t>107 325,61</t>
  </si>
  <si>
    <t>14 335 560,49</t>
  </si>
  <si>
    <t>zwiększenie dotacji z Doln. Urz.Wojew. - pismo PS-III-3050-223/09 z dnia 30.11.2009r. na wypłaty nagród jubileuszowych oraz odpraw emerytalnych i rentowych dla pracowników GOPS</t>
  </si>
  <si>
    <t>środki pochodzące z rezerwy subwencji dla gmin o małym dochodzie podatkowym z Ministerstwa Finansów - pismo ST3/4822/2/DWX/09 z dnia 11 grudnia 2009 roku</t>
  </si>
  <si>
    <t>środki pochodzące z rezerwyczęści oświatowej subwencji ogólnej dla gmin na dofinansowanie wydatków związanych z przeprowadzeniem remontów bieżących w obiektach oświatowych z Ministerstwa Finansów - pismo ST5/4822/41g/BKU/09 z dnia 25 listopada 2009 roku</t>
  </si>
  <si>
    <t>zwiększenie dotacji z Doln. Urz.Wojew. na zwrot podatku akcyzowego producentom rolnym oraz na pokrycie kosztów postępowania w sprawie zwrotu podatku</t>
  </si>
  <si>
    <t>1 515,03</t>
  </si>
  <si>
    <t>1 708,88</t>
  </si>
  <si>
    <t>228,77</t>
  </si>
  <si>
    <t>258,04</t>
  </si>
  <si>
    <t>37,12</t>
  </si>
  <si>
    <t>41,87</t>
  </si>
  <si>
    <t>4430</t>
  </si>
  <si>
    <t>Różne opłaty i składki</t>
  </si>
  <si>
    <t>140 270,46</t>
  </si>
  <si>
    <t>49 215,82</t>
  </si>
  <si>
    <t>5 047,00</t>
  </si>
  <si>
    <t>7,00</t>
  </si>
  <si>
    <t>968,00</t>
  </si>
  <si>
    <t>160,00</t>
  </si>
  <si>
    <t>1 450,00</t>
  </si>
  <si>
    <t>-300,00</t>
  </si>
  <si>
    <t>2310</t>
  </si>
  <si>
    <t>Dotacje celowe przekazane gminie na zadania bieżące realizowane na podstawie porozumień (umów) między jednostkami samorządu terytorialnego</t>
  </si>
  <si>
    <t>41 624,00</t>
  </si>
  <si>
    <t>2 860,00</t>
  </si>
  <si>
    <t>dotacje z budżetu (dotacja dla Urzędu Miasta Lubin do przedszkola)</t>
  </si>
  <si>
    <t>85415</t>
  </si>
  <si>
    <t>Pomoc materialna dla uczniów</t>
  </si>
  <si>
    <t>160 454,00</t>
  </si>
  <si>
    <t>3240</t>
  </si>
  <si>
    <t>Stypendia dla uczniów</t>
  </si>
  <si>
    <t>148 344,00</t>
  </si>
  <si>
    <t>85154</t>
  </si>
  <si>
    <t>Przeciwdziałanie alkoholizmowi</t>
  </si>
  <si>
    <t>67 567,63</t>
  </si>
  <si>
    <t>13 060,00</t>
  </si>
  <si>
    <t>8 208,52</t>
  </si>
  <si>
    <t>7 297,63</t>
  </si>
  <si>
    <t>200,00</t>
  </si>
  <si>
    <t>-1 000,00</t>
  </si>
  <si>
    <t>UG Miłkowice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</si>
</sst>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i/>
      <sz val="8.25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11"/>
      <color indexed="12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9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6"/>
      <name val="Arial CE"/>
      <family val="2"/>
    </font>
    <font>
      <vertAlign val="superscript"/>
      <sz val="10"/>
      <name val="Arial CE"/>
      <family val="0"/>
    </font>
    <font>
      <i/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5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</cellStyleXfs>
  <cellXfs count="48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8" fillId="2" borderId="3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6" fillId="0" borderId="1" xfId="0" applyFill="1" applyAlignment="1">
      <alignment horizontal="right" vertical="center" wrapText="1"/>
    </xf>
    <xf numFmtId="49" fontId="6" fillId="0" borderId="4" xfId="0" applyFill="1" applyBorder="1" applyAlignment="1">
      <alignment vertical="center" wrapText="1"/>
    </xf>
    <xf numFmtId="49" fontId="6" fillId="0" borderId="5" xfId="0" applyFill="1" applyBorder="1" applyAlignment="1">
      <alignment vertical="center" wrapText="1"/>
    </xf>
    <xf numFmtId="49" fontId="6" fillId="0" borderId="6" xfId="0" applyFont="1" applyFill="1" applyBorder="1" applyAlignment="1">
      <alignment vertical="center" wrapText="1"/>
    </xf>
    <xf numFmtId="49" fontId="6" fillId="0" borderId="7" xfId="0" applyFill="1" applyBorder="1" applyAlignment="1">
      <alignment vertical="center" wrapText="1"/>
    </xf>
    <xf numFmtId="4" fontId="1" fillId="0" borderId="0" xfId="0" applyNumberFormat="1" applyFill="1" applyBorder="1" applyAlignment="1" applyProtection="1">
      <alignment/>
      <protection locked="0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0" borderId="1" xfId="0" applyNumberFormat="1" applyFont="1" applyFill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8" fillId="2" borderId="3" xfId="0" applyNumberFormat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Font="1" applyAlignment="1">
      <alignment horizontal="center" vertical="center" wrapText="1"/>
    </xf>
    <xf numFmtId="49" fontId="6" fillId="4" borderId="1" xfId="0" applyFont="1" applyAlignment="1">
      <alignment horizontal="center" vertical="center" wrapText="1"/>
    </xf>
    <xf numFmtId="49" fontId="6" fillId="4" borderId="1" xfId="0" applyFont="1" applyAlignment="1">
      <alignment horizontal="left" vertical="center" wrapText="1"/>
    </xf>
    <xf numFmtId="0" fontId="23" fillId="0" borderId="8" xfId="19" applyFont="1" applyFill="1" applyBorder="1" applyAlignment="1">
      <alignment horizontal="left" vertical="center" wrapText="1"/>
      <protection/>
    </xf>
    <xf numFmtId="49" fontId="6" fillId="2" borderId="9" xfId="0" applyBorder="1" applyAlignment="1">
      <alignment vertical="center" wrapText="1"/>
    </xf>
    <xf numFmtId="49" fontId="4" fillId="2" borderId="1" xfId="0" applyFont="1" applyAlignment="1">
      <alignment horizontal="center" vertical="center" wrapText="1"/>
    </xf>
    <xf numFmtId="0" fontId="16" fillId="0" borderId="0" xfId="19" applyFont="1" applyAlignment="1">
      <alignment vertical="center" wrapText="1"/>
      <protection/>
    </xf>
    <xf numFmtId="0" fontId="17" fillId="0" borderId="0" xfId="19" applyFont="1">
      <alignment/>
      <protection/>
    </xf>
    <xf numFmtId="0" fontId="18" fillId="0" borderId="0" xfId="19" applyFont="1">
      <alignment/>
      <protection/>
    </xf>
    <xf numFmtId="3" fontId="18" fillId="0" borderId="0" xfId="19" applyNumberFormat="1" applyFont="1">
      <alignment/>
      <protection/>
    </xf>
    <xf numFmtId="0" fontId="19" fillId="0" borderId="0" xfId="19" applyFont="1" applyAlignment="1">
      <alignment horizontal="right" vertical="center"/>
      <protection/>
    </xf>
    <xf numFmtId="0" fontId="20" fillId="0" borderId="0" xfId="19" applyFont="1" applyAlignment="1">
      <alignment textRotation="180"/>
      <protection/>
    </xf>
    <xf numFmtId="0" fontId="20" fillId="5" borderId="10" xfId="19" applyFont="1" applyFill="1" applyBorder="1" applyAlignment="1">
      <alignment horizontal="center" vertical="center" wrapText="1"/>
      <protection/>
    </xf>
    <xf numFmtId="0" fontId="18" fillId="0" borderId="0" xfId="19" applyFont="1" applyAlignment="1">
      <alignment vertical="center" wrapText="1"/>
      <protection/>
    </xf>
    <xf numFmtId="0" fontId="20" fillId="5" borderId="11" xfId="19" applyFont="1" applyFill="1" applyBorder="1" applyAlignment="1">
      <alignment horizontal="center" vertical="center" wrapText="1"/>
      <protection/>
    </xf>
    <xf numFmtId="0" fontId="21" fillId="5" borderId="12" xfId="19" applyFont="1" applyFill="1" applyBorder="1" applyAlignment="1">
      <alignment horizontal="center" vertical="center" wrapText="1"/>
      <protection/>
    </xf>
    <xf numFmtId="0" fontId="21" fillId="5" borderId="13" xfId="19" applyFont="1" applyFill="1" applyBorder="1" applyAlignment="1">
      <alignment horizontal="center" vertical="center" wrapText="1"/>
      <protection/>
    </xf>
    <xf numFmtId="0" fontId="22" fillId="0" borderId="14" xfId="19" applyFont="1" applyFill="1" applyBorder="1" applyAlignment="1">
      <alignment horizontal="center" vertical="center" wrapText="1"/>
      <protection/>
    </xf>
    <xf numFmtId="0" fontId="22" fillId="0" borderId="12" xfId="19" applyFont="1" applyFill="1" applyBorder="1" applyAlignment="1">
      <alignment horizontal="center" vertical="center" wrapText="1"/>
      <protection/>
    </xf>
    <xf numFmtId="3" fontId="19" fillId="0" borderId="12" xfId="19" applyNumberFormat="1" applyFont="1" applyFill="1" applyBorder="1" applyAlignment="1">
      <alignment horizontal="center" vertical="center" wrapText="1"/>
      <protection/>
    </xf>
    <xf numFmtId="0" fontId="19" fillId="0" borderId="12" xfId="19" applyFont="1" applyFill="1" applyBorder="1" applyAlignment="1">
      <alignment horizontal="center" vertical="center" wrapText="1"/>
      <protection/>
    </xf>
    <xf numFmtId="0" fontId="19" fillId="0" borderId="15" xfId="19" applyFont="1" applyFill="1" applyBorder="1" applyAlignment="1">
      <alignment horizontal="center" vertical="center" wrapText="1"/>
      <protection/>
    </xf>
    <xf numFmtId="0" fontId="22" fillId="0" borderId="0" xfId="19" applyFont="1" applyFill="1" applyAlignment="1">
      <alignment horizontal="center" textRotation="180"/>
      <protection/>
    </xf>
    <xf numFmtId="0" fontId="22" fillId="0" borderId="0" xfId="19" applyFont="1" applyFill="1" applyAlignment="1">
      <alignment horizontal="center" vertical="center" wrapText="1"/>
      <protection/>
    </xf>
    <xf numFmtId="0" fontId="20" fillId="0" borderId="16" xfId="19" applyFont="1" applyFill="1" applyBorder="1" applyAlignment="1">
      <alignment horizontal="center" vertical="center" wrapText="1"/>
      <protection/>
    </xf>
    <xf numFmtId="3" fontId="20" fillId="0" borderId="16" xfId="19" applyNumberFormat="1" applyFont="1" applyFill="1" applyBorder="1" applyAlignment="1">
      <alignment vertical="center" wrapText="1"/>
      <protection/>
    </xf>
    <xf numFmtId="3" fontId="20" fillId="0" borderId="17" xfId="19" applyNumberFormat="1" applyFont="1" applyFill="1" applyBorder="1" applyAlignment="1">
      <alignment vertical="center" wrapText="1"/>
      <protection/>
    </xf>
    <xf numFmtId="3" fontId="12" fillId="0" borderId="18" xfId="19" applyNumberFormat="1" applyFont="1" applyFill="1" applyBorder="1" applyAlignment="1">
      <alignment vertical="center" wrapText="1"/>
      <protection/>
    </xf>
    <xf numFmtId="0" fontId="20" fillId="0" borderId="0" xfId="19" applyFont="1" applyFill="1" applyAlignment="1">
      <alignment textRotation="180"/>
      <protection/>
    </xf>
    <xf numFmtId="0" fontId="18" fillId="0" borderId="0" xfId="19" applyFont="1" applyFill="1" applyAlignment="1">
      <alignment vertical="center" wrapText="1"/>
      <protection/>
    </xf>
    <xf numFmtId="3" fontId="23" fillId="0" borderId="8" xfId="19" applyNumberFormat="1" applyFont="1" applyFill="1" applyBorder="1" applyAlignment="1">
      <alignment vertical="center" wrapText="1"/>
      <protection/>
    </xf>
    <xf numFmtId="3" fontId="23" fillId="0" borderId="19" xfId="19" applyNumberFormat="1" applyFont="1" applyFill="1" applyBorder="1" applyAlignment="1">
      <alignment vertical="center" wrapText="1"/>
      <protection/>
    </xf>
    <xf numFmtId="3" fontId="12" fillId="0" borderId="20" xfId="19" applyNumberFormat="1" applyFont="1" applyFill="1" applyBorder="1" applyAlignment="1">
      <alignment vertical="center" wrapText="1"/>
      <protection/>
    </xf>
    <xf numFmtId="0" fontId="18" fillId="0" borderId="21" xfId="19" applyFont="1" applyFill="1" applyBorder="1" applyAlignment="1">
      <alignment horizontal="center" vertical="center" wrapText="1"/>
      <protection/>
    </xf>
    <xf numFmtId="0" fontId="12" fillId="0" borderId="22" xfId="19" applyFont="1" applyFill="1" applyBorder="1" applyAlignment="1">
      <alignment vertical="center" wrapText="1"/>
      <protection/>
    </xf>
    <xf numFmtId="0" fontId="12" fillId="0" borderId="22" xfId="19" applyNumberFormat="1" applyFont="1" applyFill="1" applyBorder="1" applyAlignment="1">
      <alignment horizontal="center" vertical="center" wrapText="1"/>
      <protection/>
    </xf>
    <xf numFmtId="3" fontId="18" fillId="0" borderId="22" xfId="19" applyNumberFormat="1" applyFont="1" applyFill="1" applyBorder="1" applyAlignment="1">
      <alignment vertical="center" wrapText="1"/>
      <protection/>
    </xf>
    <xf numFmtId="3" fontId="24" fillId="0" borderId="22" xfId="19" applyNumberFormat="1" applyFont="1" applyFill="1" applyBorder="1" applyAlignment="1">
      <alignment vertical="center" wrapText="1"/>
      <protection/>
    </xf>
    <xf numFmtId="3" fontId="25" fillId="0" borderId="22" xfId="19" applyNumberFormat="1" applyFont="1" applyFill="1" applyBorder="1" applyAlignment="1">
      <alignment vertical="center" wrapText="1"/>
      <protection/>
    </xf>
    <xf numFmtId="3" fontId="22" fillId="0" borderId="23" xfId="19" applyNumberFormat="1" applyFont="1" applyFill="1" applyBorder="1" applyAlignment="1">
      <alignment vertical="center" wrapText="1"/>
      <protection/>
    </xf>
    <xf numFmtId="3" fontId="12" fillId="0" borderId="13" xfId="19" applyNumberFormat="1" applyFont="1" applyFill="1" applyBorder="1" applyAlignment="1">
      <alignment horizontal="center" vertical="center" wrapText="1"/>
      <protection/>
    </xf>
    <xf numFmtId="0" fontId="12" fillId="0" borderId="24" xfId="19" applyFont="1" applyFill="1" applyBorder="1" applyAlignment="1">
      <alignment vertical="center" wrapText="1"/>
      <protection/>
    </xf>
    <xf numFmtId="3" fontId="18" fillId="0" borderId="24" xfId="19" applyNumberFormat="1" applyFont="1" applyFill="1" applyBorder="1" applyAlignment="1">
      <alignment vertical="center" wrapText="1"/>
      <protection/>
    </xf>
    <xf numFmtId="3" fontId="25" fillId="0" borderId="24" xfId="19" applyNumberFormat="1" applyFont="1" applyFill="1" applyBorder="1" applyAlignment="1">
      <alignment vertical="center" wrapText="1"/>
      <protection/>
    </xf>
    <xf numFmtId="0" fontId="18" fillId="0" borderId="14" xfId="19" applyFont="1" applyFill="1" applyBorder="1" applyAlignment="1">
      <alignment horizontal="center" vertical="center" wrapText="1"/>
      <protection/>
    </xf>
    <xf numFmtId="0" fontId="12" fillId="0" borderId="12" xfId="19" applyFont="1" applyFill="1" applyBorder="1" applyAlignment="1">
      <alignment vertical="center" wrapText="1"/>
      <protection/>
    </xf>
    <xf numFmtId="0" fontId="12" fillId="0" borderId="12" xfId="19" applyNumberFormat="1" applyFont="1" applyFill="1" applyBorder="1" applyAlignment="1">
      <alignment horizontal="center" vertical="center" wrapText="1"/>
      <protection/>
    </xf>
    <xf numFmtId="3" fontId="18" fillId="0" borderId="12" xfId="19" applyNumberFormat="1" applyFont="1" applyFill="1" applyBorder="1" applyAlignment="1">
      <alignment horizontal="right" vertical="center" wrapText="1"/>
      <protection/>
    </xf>
    <xf numFmtId="3" fontId="18" fillId="0" borderId="12" xfId="19" applyNumberFormat="1" applyFont="1" applyFill="1" applyBorder="1" applyAlignment="1">
      <alignment vertical="center" wrapText="1"/>
      <protection/>
    </xf>
    <xf numFmtId="3" fontId="26" fillId="0" borderId="24" xfId="19" applyNumberFormat="1" applyFont="1" applyFill="1" applyBorder="1" applyAlignment="1">
      <alignment horizontal="center" vertical="center" wrapText="1"/>
      <protection/>
    </xf>
    <xf numFmtId="3" fontId="18" fillId="0" borderId="24" xfId="19" applyNumberFormat="1" applyFont="1" applyFill="1" applyBorder="1" applyAlignment="1">
      <alignment horizontal="right" vertical="center" wrapText="1"/>
      <protection/>
    </xf>
    <xf numFmtId="3" fontId="22" fillId="0" borderId="22" xfId="19" applyNumberFormat="1" applyFont="1" applyFill="1" applyBorder="1" applyAlignment="1">
      <alignment vertical="center" wrapText="1"/>
      <protection/>
    </xf>
    <xf numFmtId="0" fontId="18" fillId="0" borderId="25" xfId="19" applyFont="1" applyFill="1" applyBorder="1" applyAlignment="1">
      <alignment horizontal="center" vertical="center" wrapText="1"/>
      <protection/>
    </xf>
    <xf numFmtId="0" fontId="12" fillId="0" borderId="24" xfId="19" applyNumberFormat="1" applyFont="1" applyFill="1" applyBorder="1" applyAlignment="1">
      <alignment horizontal="center" vertical="center" wrapText="1"/>
      <protection/>
    </xf>
    <xf numFmtId="3" fontId="22" fillId="0" borderId="24" xfId="19" applyNumberFormat="1" applyFont="1" applyFill="1" applyBorder="1" applyAlignment="1">
      <alignment vertical="center" wrapText="1"/>
      <protection/>
    </xf>
    <xf numFmtId="0" fontId="27" fillId="0" borderId="24" xfId="19" applyNumberFormat="1" applyFont="1" applyFill="1" applyBorder="1" applyAlignment="1">
      <alignment horizontal="center" vertical="center" wrapText="1"/>
      <protection/>
    </xf>
    <xf numFmtId="3" fontId="12" fillId="0" borderId="24" xfId="19" applyNumberFormat="1" applyFont="1" applyFill="1" applyBorder="1" applyAlignment="1">
      <alignment horizontal="center" vertical="center" wrapText="1"/>
      <protection/>
    </xf>
    <xf numFmtId="0" fontId="12" fillId="0" borderId="24" xfId="19" applyFont="1" applyFill="1" applyBorder="1" applyAlignment="1">
      <alignment vertical="top" wrapText="1"/>
      <protection/>
    </xf>
    <xf numFmtId="3" fontId="12" fillId="0" borderId="26" xfId="19" applyNumberFormat="1" applyFont="1" applyFill="1" applyBorder="1" applyAlignment="1">
      <alignment vertical="center" wrapText="1"/>
      <protection/>
    </xf>
    <xf numFmtId="3" fontId="12" fillId="0" borderId="27" xfId="19" applyNumberFormat="1" applyFont="1" applyFill="1" applyBorder="1" applyAlignment="1">
      <alignment vertical="center" wrapText="1"/>
      <protection/>
    </xf>
    <xf numFmtId="3" fontId="12" fillId="0" borderId="28" xfId="19" applyNumberFormat="1" applyFont="1" applyFill="1" applyBorder="1" applyAlignment="1">
      <alignment vertical="center" wrapText="1"/>
      <protection/>
    </xf>
    <xf numFmtId="0" fontId="12" fillId="0" borderId="22" xfId="19" applyFont="1" applyFill="1" applyBorder="1" applyAlignment="1">
      <alignment horizontal="left" vertical="center" wrapText="1"/>
      <protection/>
    </xf>
    <xf numFmtId="0" fontId="12" fillId="0" borderId="24" xfId="19" applyFont="1" applyFill="1" applyBorder="1" applyAlignment="1">
      <alignment horizontal="left" vertical="center" wrapText="1"/>
      <protection/>
    </xf>
    <xf numFmtId="0" fontId="12" fillId="0" borderId="29" xfId="19" applyNumberFormat="1" applyFont="1" applyFill="1" applyBorder="1" applyAlignment="1">
      <alignment horizontal="center" vertical="center" wrapText="1"/>
      <protection/>
    </xf>
    <xf numFmtId="3" fontId="18" fillId="0" borderId="23" xfId="19" applyNumberFormat="1" applyFont="1" applyFill="1" applyBorder="1" applyAlignment="1">
      <alignment vertical="center" wrapText="1"/>
      <protection/>
    </xf>
    <xf numFmtId="3" fontId="28" fillId="0" borderId="24" xfId="19" applyNumberFormat="1" applyFont="1" applyFill="1" applyBorder="1" applyAlignment="1">
      <alignment vertical="center" wrapText="1"/>
      <protection/>
    </xf>
    <xf numFmtId="0" fontId="12" fillId="0" borderId="29" xfId="19" applyFont="1" applyFill="1" applyBorder="1" applyAlignment="1">
      <alignment horizontal="center" vertical="center" wrapText="1"/>
      <protection/>
    </xf>
    <xf numFmtId="3" fontId="23" fillId="0" borderId="22" xfId="19" applyNumberFormat="1" applyFont="1" applyFill="1" applyBorder="1" applyAlignment="1">
      <alignment vertical="center" wrapText="1"/>
      <protection/>
    </xf>
    <xf numFmtId="0" fontId="22" fillId="0" borderId="25" xfId="19" applyFont="1" applyFill="1" applyBorder="1" applyAlignment="1">
      <alignment horizontal="center" vertical="center" wrapText="1"/>
      <protection/>
    </xf>
    <xf numFmtId="0" fontId="22" fillId="0" borderId="24" xfId="19" applyFont="1" applyFill="1" applyBorder="1" applyAlignment="1">
      <alignment horizontal="center" vertical="center" wrapText="1"/>
      <protection/>
    </xf>
    <xf numFmtId="3" fontId="19" fillId="0" borderId="24" xfId="19" applyNumberFormat="1" applyFont="1" applyFill="1" applyBorder="1" applyAlignment="1">
      <alignment horizontal="center" vertical="center" wrapText="1"/>
      <protection/>
    </xf>
    <xf numFmtId="0" fontId="19" fillId="0" borderId="24" xfId="19" applyFont="1" applyFill="1" applyBorder="1" applyAlignment="1">
      <alignment horizontal="center" vertical="center" wrapText="1"/>
      <protection/>
    </xf>
    <xf numFmtId="3" fontId="22" fillId="0" borderId="30" xfId="19" applyNumberFormat="1" applyFont="1" applyFill="1" applyBorder="1" applyAlignment="1">
      <alignment horizontal="center" vertical="center" wrapText="1"/>
      <protection/>
    </xf>
    <xf numFmtId="3" fontId="22" fillId="0" borderId="31" xfId="19" applyNumberFormat="1" applyFont="1" applyFill="1" applyBorder="1" applyAlignment="1">
      <alignment horizontal="center" vertical="center" wrapText="1"/>
      <protection/>
    </xf>
    <xf numFmtId="0" fontId="18" fillId="0" borderId="32" xfId="19" applyFont="1" applyFill="1" applyBorder="1" applyAlignment="1">
      <alignment horizontal="center" vertical="center" wrapText="1"/>
      <protection/>
    </xf>
    <xf numFmtId="0" fontId="12" fillId="0" borderId="18" xfId="19" applyFont="1" applyFill="1" applyBorder="1" applyAlignment="1">
      <alignment horizontal="left" vertical="center" wrapText="1"/>
      <protection/>
    </xf>
    <xf numFmtId="0" fontId="12" fillId="0" borderId="33" xfId="19" applyFont="1" applyFill="1" applyBorder="1" applyAlignment="1">
      <alignment horizontal="center" vertical="center" wrapText="1"/>
      <protection/>
    </xf>
    <xf numFmtId="3" fontId="18" fillId="0" borderId="18" xfId="19" applyNumberFormat="1" applyFont="1" applyFill="1" applyBorder="1" applyAlignment="1">
      <alignment vertical="center" wrapText="1"/>
      <protection/>
    </xf>
    <xf numFmtId="3" fontId="23" fillId="0" borderId="18" xfId="19" applyNumberFormat="1" applyFont="1" applyFill="1" applyBorder="1" applyAlignment="1">
      <alignment vertical="center" wrapText="1"/>
      <protection/>
    </xf>
    <xf numFmtId="3" fontId="18" fillId="0" borderId="34" xfId="19" applyNumberFormat="1" applyFont="1" applyFill="1" applyBorder="1" applyAlignment="1">
      <alignment vertical="center" wrapText="1"/>
      <protection/>
    </xf>
    <xf numFmtId="3" fontId="25" fillId="0" borderId="18" xfId="19" applyNumberFormat="1" applyFont="1" applyFill="1" applyBorder="1" applyAlignment="1">
      <alignment vertical="center" wrapText="1"/>
      <protection/>
    </xf>
    <xf numFmtId="3" fontId="28" fillId="0" borderId="18" xfId="19" applyNumberFormat="1" applyFont="1" applyFill="1" applyBorder="1" applyAlignment="1">
      <alignment horizontal="center" vertical="center" wrapText="1"/>
      <protection/>
    </xf>
    <xf numFmtId="3" fontId="12" fillId="0" borderId="16" xfId="19" applyNumberFormat="1" applyFont="1" applyFill="1" applyBorder="1" applyAlignment="1">
      <alignment vertical="center" wrapText="1"/>
      <protection/>
    </xf>
    <xf numFmtId="1" fontId="12" fillId="0" borderId="29" xfId="19" applyNumberFormat="1" applyFont="1" applyFill="1" applyBorder="1" applyAlignment="1">
      <alignment horizontal="center" vertical="center" wrapText="1"/>
      <protection/>
    </xf>
    <xf numFmtId="0" fontId="18" fillId="0" borderId="35" xfId="19" applyFont="1" applyFill="1" applyBorder="1" applyAlignment="1">
      <alignment horizontal="center" vertical="center" wrapText="1"/>
      <protection/>
    </xf>
    <xf numFmtId="0" fontId="12" fillId="0" borderId="26" xfId="19" applyFont="1" applyFill="1" applyBorder="1" applyAlignment="1">
      <alignment vertical="center" wrapText="1"/>
      <protection/>
    </xf>
    <xf numFmtId="1" fontId="12" fillId="0" borderId="36" xfId="19" applyNumberFormat="1" applyFont="1" applyFill="1" applyBorder="1" applyAlignment="1">
      <alignment horizontal="center" vertical="center" wrapText="1"/>
      <protection/>
    </xf>
    <xf numFmtId="3" fontId="18" fillId="0" borderId="26" xfId="19" applyNumberFormat="1" applyFont="1" applyFill="1" applyBorder="1" applyAlignment="1">
      <alignment vertical="center" wrapText="1"/>
      <protection/>
    </xf>
    <xf numFmtId="3" fontId="18" fillId="0" borderId="37" xfId="19" applyNumberFormat="1" applyFont="1" applyFill="1" applyBorder="1" applyAlignment="1">
      <alignment vertical="center" wrapText="1"/>
      <protection/>
    </xf>
    <xf numFmtId="3" fontId="12" fillId="0" borderId="18" xfId="19" applyNumberFormat="1" applyFont="1" applyFill="1" applyBorder="1" applyAlignment="1">
      <alignment horizontal="center" vertical="center" wrapText="1"/>
      <protection/>
    </xf>
    <xf numFmtId="4" fontId="20" fillId="0" borderId="16" xfId="19" applyNumberFormat="1" applyFont="1" applyFill="1" applyBorder="1" applyAlignment="1">
      <alignment vertical="center" wrapText="1"/>
      <protection/>
    </xf>
    <xf numFmtId="1" fontId="12" fillId="0" borderId="22" xfId="19" applyNumberFormat="1" applyFont="1" applyFill="1" applyBorder="1" applyAlignment="1">
      <alignment horizontal="center" vertical="center" wrapText="1"/>
      <protection/>
    </xf>
    <xf numFmtId="3" fontId="29" fillId="0" borderId="23" xfId="19" applyNumberFormat="1" applyFont="1" applyFill="1" applyBorder="1" applyAlignment="1">
      <alignment vertical="center" wrapText="1"/>
      <protection/>
    </xf>
    <xf numFmtId="3" fontId="12" fillId="0" borderId="38" xfId="19" applyNumberFormat="1" applyFont="1" applyFill="1" applyBorder="1" applyAlignment="1">
      <alignment vertical="center" wrapText="1"/>
      <protection/>
    </xf>
    <xf numFmtId="3" fontId="12" fillId="0" borderId="8" xfId="19" applyNumberFormat="1" applyFont="1" applyFill="1" applyBorder="1" applyAlignment="1">
      <alignment vertical="center" wrapText="1"/>
      <protection/>
    </xf>
    <xf numFmtId="3" fontId="12" fillId="0" borderId="22" xfId="19" applyNumberFormat="1" applyFont="1" applyFill="1" applyBorder="1" applyAlignment="1">
      <alignment vertical="center" wrapText="1"/>
      <protection/>
    </xf>
    <xf numFmtId="0" fontId="18" fillId="0" borderId="39" xfId="19" applyFont="1" applyFill="1" applyBorder="1" applyAlignment="1">
      <alignment horizontal="center" vertical="center" wrapText="1"/>
      <protection/>
    </xf>
    <xf numFmtId="0" fontId="12" fillId="0" borderId="13" xfId="19" applyFont="1" applyFill="1" applyBorder="1" applyAlignment="1">
      <alignment vertical="center" wrapText="1"/>
      <protection/>
    </xf>
    <xf numFmtId="1" fontId="12" fillId="0" borderId="13" xfId="19" applyNumberFormat="1" applyFont="1" applyFill="1" applyBorder="1" applyAlignment="1">
      <alignment horizontal="center" vertical="center" wrapText="1"/>
      <protection/>
    </xf>
    <xf numFmtId="3" fontId="18" fillId="0" borderId="13" xfId="19" applyNumberFormat="1" applyFont="1" applyFill="1" applyBorder="1" applyAlignment="1">
      <alignment vertical="center" wrapText="1"/>
      <protection/>
    </xf>
    <xf numFmtId="3" fontId="18" fillId="0" borderId="40" xfId="19" applyNumberFormat="1" applyFont="1" applyFill="1" applyBorder="1" applyAlignment="1">
      <alignment vertical="center" wrapText="1"/>
      <protection/>
    </xf>
    <xf numFmtId="3" fontId="29" fillId="0" borderId="40" xfId="19" applyNumberFormat="1" applyFont="1" applyFill="1" applyBorder="1" applyAlignment="1">
      <alignment vertical="center" wrapText="1"/>
      <protection/>
    </xf>
    <xf numFmtId="0" fontId="23" fillId="0" borderId="41" xfId="19" applyFont="1" applyFill="1" applyBorder="1" applyAlignment="1">
      <alignment horizontal="left" vertical="center" wrapText="1"/>
      <protection/>
    </xf>
    <xf numFmtId="4" fontId="23" fillId="0" borderId="41" xfId="19" applyNumberFormat="1" applyFont="1" applyFill="1" applyBorder="1" applyAlignment="1">
      <alignment vertical="center" wrapText="1"/>
      <protection/>
    </xf>
    <xf numFmtId="3" fontId="23" fillId="0" borderId="41" xfId="19" applyNumberFormat="1" applyFont="1" applyFill="1" applyBorder="1" applyAlignment="1">
      <alignment vertical="center" wrapText="1"/>
      <protection/>
    </xf>
    <xf numFmtId="3" fontId="23" fillId="0" borderId="42" xfId="19" applyNumberFormat="1" applyFont="1" applyFill="1" applyBorder="1" applyAlignment="1">
      <alignment vertical="center" wrapText="1"/>
      <protection/>
    </xf>
    <xf numFmtId="4" fontId="18" fillId="0" borderId="22" xfId="19" applyNumberFormat="1" applyFont="1" applyFill="1" applyBorder="1" applyAlignment="1">
      <alignment vertical="center" wrapText="1"/>
      <protection/>
    </xf>
    <xf numFmtId="3" fontId="23" fillId="0" borderId="20" xfId="19" applyNumberFormat="1" applyFont="1" applyFill="1" applyBorder="1" applyAlignment="1">
      <alignment vertical="center" wrapText="1"/>
      <protection/>
    </xf>
    <xf numFmtId="3" fontId="23" fillId="0" borderId="43" xfId="19" applyNumberFormat="1" applyFont="1" applyFill="1" applyBorder="1" applyAlignment="1">
      <alignment vertical="center" wrapText="1"/>
      <protection/>
    </xf>
    <xf numFmtId="3" fontId="23" fillId="0" borderId="44" xfId="19" applyNumberFormat="1" applyFont="1" applyFill="1" applyBorder="1" applyAlignment="1">
      <alignment vertical="center" wrapText="1"/>
      <protection/>
    </xf>
    <xf numFmtId="0" fontId="18" fillId="0" borderId="21" xfId="19" applyFont="1" applyFill="1" applyBorder="1" applyAlignment="1">
      <alignment vertical="center" wrapText="1"/>
      <protection/>
    </xf>
    <xf numFmtId="3" fontId="22" fillId="0" borderId="22" xfId="19" applyNumberFormat="1" applyFont="1" applyFill="1" applyBorder="1" applyAlignment="1">
      <alignment horizontal="left" vertical="center" wrapText="1"/>
      <protection/>
    </xf>
    <xf numFmtId="0" fontId="18" fillId="0" borderId="0" xfId="19" applyFont="1" applyFill="1" applyBorder="1" applyAlignment="1">
      <alignment horizontal="center" vertical="center" wrapText="1"/>
      <protection/>
    </xf>
    <xf numFmtId="0" fontId="12" fillId="0" borderId="0" xfId="19" applyFont="1" applyFill="1" applyBorder="1" applyAlignment="1">
      <alignment vertical="center" wrapText="1"/>
      <protection/>
    </xf>
    <xf numFmtId="1" fontId="12" fillId="0" borderId="0" xfId="19" applyNumberFormat="1" applyFont="1" applyFill="1" applyBorder="1" applyAlignment="1">
      <alignment horizontal="center" vertical="center" wrapText="1"/>
      <protection/>
    </xf>
    <xf numFmtId="3" fontId="18" fillId="0" borderId="0" xfId="19" applyNumberFormat="1" applyFont="1" applyFill="1" applyBorder="1" applyAlignment="1">
      <alignment vertical="center" wrapText="1"/>
      <protection/>
    </xf>
    <xf numFmtId="3" fontId="12" fillId="0" borderId="45" xfId="19" applyNumberFormat="1" applyFont="1" applyFill="1" applyBorder="1" applyAlignment="1">
      <alignment vertical="center" wrapText="1"/>
      <protection/>
    </xf>
    <xf numFmtId="0" fontId="22" fillId="0" borderId="46" xfId="19" applyFont="1" applyFill="1" applyBorder="1" applyAlignment="1">
      <alignment horizontal="center" vertical="center" wrapText="1"/>
      <protection/>
    </xf>
    <xf numFmtId="0" fontId="22" fillId="0" borderId="28" xfId="19" applyFont="1" applyFill="1" applyBorder="1" applyAlignment="1">
      <alignment horizontal="center" vertical="center" wrapText="1"/>
      <protection/>
    </xf>
    <xf numFmtId="3" fontId="19" fillId="0" borderId="28" xfId="19" applyNumberFormat="1" applyFont="1" applyFill="1" applyBorder="1" applyAlignment="1">
      <alignment horizontal="center" vertical="center" wrapText="1"/>
      <protection/>
    </xf>
    <xf numFmtId="0" fontId="19" fillId="0" borderId="28" xfId="19" applyFont="1" applyFill="1" applyBorder="1" applyAlignment="1">
      <alignment horizontal="center" vertical="center" wrapText="1"/>
      <protection/>
    </xf>
    <xf numFmtId="3" fontId="30" fillId="0" borderId="22" xfId="19" applyNumberFormat="1" applyFont="1" applyFill="1" applyBorder="1" applyAlignment="1">
      <alignment vertical="center" wrapText="1"/>
      <protection/>
    </xf>
    <xf numFmtId="0" fontId="18" fillId="0" borderId="32" xfId="19" applyFont="1" applyFill="1" applyBorder="1" applyAlignment="1">
      <alignment vertical="center" wrapText="1"/>
      <protection/>
    </xf>
    <xf numFmtId="1" fontId="12" fillId="0" borderId="18" xfId="19" applyNumberFormat="1" applyFont="1" applyFill="1" applyBorder="1" applyAlignment="1">
      <alignment horizontal="center" vertical="center" wrapText="1"/>
      <protection/>
    </xf>
    <xf numFmtId="3" fontId="30" fillId="0" borderId="18" xfId="19" applyNumberFormat="1" applyFont="1" applyFill="1" applyBorder="1" applyAlignment="1">
      <alignment vertical="center" wrapText="1"/>
      <protection/>
    </xf>
    <xf numFmtId="0" fontId="12" fillId="0" borderId="18" xfId="19" applyFont="1" applyFill="1" applyBorder="1" applyAlignment="1">
      <alignment vertical="center" wrapText="1"/>
      <protection/>
    </xf>
    <xf numFmtId="1" fontId="12" fillId="0" borderId="18" xfId="19" applyNumberFormat="1" applyFont="1" applyFill="1" applyBorder="1" applyAlignment="1">
      <alignment vertical="center" wrapText="1"/>
      <protection/>
    </xf>
    <xf numFmtId="3" fontId="22" fillId="0" borderId="34" xfId="19" applyNumberFormat="1" applyFont="1" applyFill="1" applyBorder="1" applyAlignment="1">
      <alignment vertical="center" wrapText="1"/>
      <protection/>
    </xf>
    <xf numFmtId="0" fontId="12" fillId="0" borderId="16" xfId="19" applyFont="1" applyFill="1" applyBorder="1" applyAlignment="1">
      <alignment vertical="center" wrapText="1"/>
      <protection/>
    </xf>
    <xf numFmtId="0" fontId="18" fillId="0" borderId="47" xfId="19" applyFont="1" applyFill="1" applyBorder="1" applyAlignment="1">
      <alignment horizontal="center" vertical="center" wrapText="1"/>
      <protection/>
    </xf>
    <xf numFmtId="0" fontId="12" fillId="0" borderId="22" xfId="19" applyFont="1" applyFill="1" applyBorder="1" applyAlignment="1">
      <alignment horizontal="center" vertical="center" wrapText="1"/>
      <protection/>
    </xf>
    <xf numFmtId="3" fontId="23" fillId="0" borderId="48" xfId="19" applyNumberFormat="1" applyFont="1" applyFill="1" applyBorder="1" applyAlignment="1">
      <alignment vertical="center" wrapText="1"/>
      <protection/>
    </xf>
    <xf numFmtId="3" fontId="23" fillId="0" borderId="49" xfId="19" applyNumberFormat="1" applyFont="1" applyFill="1" applyBorder="1" applyAlignment="1">
      <alignment vertical="center" wrapText="1"/>
      <protection/>
    </xf>
    <xf numFmtId="1" fontId="12" fillId="0" borderId="33" xfId="19" applyNumberFormat="1" applyFont="1" applyFill="1" applyBorder="1" applyAlignment="1">
      <alignment horizontal="center" vertical="center" wrapText="1"/>
      <protection/>
    </xf>
    <xf numFmtId="3" fontId="22" fillId="0" borderId="18" xfId="19" applyNumberFormat="1" applyFont="1" applyFill="1" applyBorder="1" applyAlignment="1">
      <alignment horizontal="left" vertical="center" wrapText="1"/>
      <protection/>
    </xf>
    <xf numFmtId="0" fontId="12" fillId="0" borderId="50" xfId="19" applyFont="1" applyFill="1" applyBorder="1" applyAlignment="1">
      <alignment horizontal="center" vertical="center" wrapText="1"/>
      <protection/>
    </xf>
    <xf numFmtId="0" fontId="19" fillId="0" borderId="31" xfId="19" applyFont="1" applyFill="1" applyBorder="1" applyAlignment="1">
      <alignment horizontal="center" vertical="center" wrapText="1"/>
      <protection/>
    </xf>
    <xf numFmtId="3" fontId="20" fillId="0" borderId="28" xfId="20" applyNumberFormat="1" applyFont="1" applyFill="1" applyBorder="1" applyAlignment="1">
      <alignment vertical="center" wrapText="1"/>
      <protection/>
    </xf>
    <xf numFmtId="0" fontId="20" fillId="0" borderId="0" xfId="20" applyFont="1" applyFill="1" applyAlignment="1">
      <alignment textRotation="180"/>
      <protection/>
    </xf>
    <xf numFmtId="0" fontId="18" fillId="0" borderId="0" xfId="20" applyFont="1" applyFill="1" applyAlignment="1">
      <alignment vertical="center" wrapText="1"/>
      <protection/>
    </xf>
    <xf numFmtId="3" fontId="23" fillId="0" borderId="41" xfId="20" applyNumberFormat="1" applyFont="1" applyFill="1" applyBorder="1" applyAlignment="1">
      <alignment vertical="center" wrapText="1"/>
      <protection/>
    </xf>
    <xf numFmtId="3" fontId="23" fillId="0" borderId="42" xfId="20" applyNumberFormat="1" applyFont="1" applyFill="1" applyBorder="1" applyAlignment="1">
      <alignment vertical="center" wrapText="1"/>
      <protection/>
    </xf>
    <xf numFmtId="0" fontId="18" fillId="0" borderId="21" xfId="20" applyFont="1" applyFill="1" applyBorder="1" applyAlignment="1">
      <alignment horizontal="center" vertical="center" wrapText="1"/>
      <protection/>
    </xf>
    <xf numFmtId="0" fontId="12" fillId="0" borderId="22" xfId="20" applyFont="1" applyFill="1" applyBorder="1" applyAlignment="1">
      <alignment vertical="center" wrapText="1"/>
      <protection/>
    </xf>
    <xf numFmtId="1" fontId="12" fillId="0" borderId="22" xfId="20" applyNumberFormat="1" applyFont="1" applyFill="1" applyBorder="1" applyAlignment="1">
      <alignment horizontal="center" vertical="center" wrapText="1"/>
      <protection/>
    </xf>
    <xf numFmtId="3" fontId="18" fillId="0" borderId="22" xfId="20" applyNumberFormat="1" applyFont="1" applyFill="1" applyBorder="1" applyAlignment="1">
      <alignment vertical="center" wrapText="1"/>
      <protection/>
    </xf>
    <xf numFmtId="1" fontId="12" fillId="0" borderId="24" xfId="19" applyNumberFormat="1" applyFont="1" applyFill="1" applyBorder="1" applyAlignment="1">
      <alignment horizontal="center" vertical="center" wrapText="1"/>
      <protection/>
    </xf>
    <xf numFmtId="3" fontId="24" fillId="0" borderId="24" xfId="19" applyNumberFormat="1" applyFont="1" applyFill="1" applyBorder="1" applyAlignment="1">
      <alignment vertical="center" wrapText="1"/>
      <protection/>
    </xf>
    <xf numFmtId="3" fontId="25" fillId="0" borderId="23" xfId="19" applyNumberFormat="1" applyFont="1" applyFill="1" applyBorder="1" applyAlignment="1">
      <alignment vertical="center" wrapText="1"/>
      <protection/>
    </xf>
    <xf numFmtId="3" fontId="31" fillId="0" borderId="22" xfId="19" applyNumberFormat="1" applyFont="1" applyFill="1" applyBorder="1" applyAlignment="1">
      <alignment vertical="center" wrapText="1"/>
      <protection/>
    </xf>
    <xf numFmtId="3" fontId="20" fillId="0" borderId="27" xfId="19" applyNumberFormat="1" applyFont="1" applyFill="1" applyBorder="1" applyAlignment="1">
      <alignment vertical="center" wrapText="1"/>
      <protection/>
    </xf>
    <xf numFmtId="3" fontId="23" fillId="0" borderId="51" xfId="19" applyNumberFormat="1" applyFont="1" applyFill="1" applyBorder="1" applyAlignment="1">
      <alignment vertical="center" wrapText="1"/>
      <protection/>
    </xf>
    <xf numFmtId="3" fontId="29" fillId="0" borderId="26" xfId="19" applyNumberFormat="1" applyFont="1" applyFill="1" applyBorder="1" applyAlignment="1">
      <alignment vertical="center" wrapText="1"/>
      <protection/>
    </xf>
    <xf numFmtId="0" fontId="20" fillId="0" borderId="52" xfId="19" applyFont="1" applyFill="1" applyBorder="1" applyAlignment="1">
      <alignment vertical="center" wrapText="1"/>
      <protection/>
    </xf>
    <xf numFmtId="3" fontId="20" fillId="0" borderId="53" xfId="19" applyNumberFormat="1" applyFont="1" applyFill="1" applyBorder="1" applyAlignment="1">
      <alignment vertical="center" wrapText="1"/>
      <protection/>
    </xf>
    <xf numFmtId="4" fontId="20" fillId="0" borderId="53" xfId="19" applyNumberFormat="1" applyFont="1" applyFill="1" applyBorder="1" applyAlignment="1">
      <alignment vertical="center" wrapText="1"/>
      <protection/>
    </xf>
    <xf numFmtId="0" fontId="32" fillId="0" borderId="0" xfId="19" applyFont="1" applyAlignment="1">
      <alignment vertical="top"/>
      <protection/>
    </xf>
    <xf numFmtId="3" fontId="20" fillId="0" borderId="0" xfId="19" applyNumberFormat="1" applyFont="1" applyBorder="1" applyAlignment="1">
      <alignment vertical="center" wrapText="1"/>
      <protection/>
    </xf>
    <xf numFmtId="0" fontId="20" fillId="0" borderId="0" xfId="19" applyFont="1" applyAlignment="1">
      <alignment vertical="center" wrapText="1"/>
      <protection/>
    </xf>
    <xf numFmtId="0" fontId="33" fillId="0" borderId="0" xfId="19" applyFont="1">
      <alignment/>
      <protection/>
    </xf>
    <xf numFmtId="3" fontId="33" fillId="0" borderId="0" xfId="19" applyNumberFormat="1" applyFont="1">
      <alignment/>
      <protection/>
    </xf>
    <xf numFmtId="0" fontId="33" fillId="0" borderId="0" xfId="19" applyFont="1" applyAlignment="1">
      <alignment horizontal="right"/>
      <protection/>
    </xf>
    <xf numFmtId="0" fontId="34" fillId="0" borderId="0" xfId="19" applyFont="1">
      <alignment/>
      <protection/>
    </xf>
    <xf numFmtId="0" fontId="12" fillId="0" borderId="54" xfId="19" applyFont="1" applyFill="1" applyBorder="1" applyAlignment="1">
      <alignment horizontal="center" vertical="center" wrapText="1"/>
      <protection/>
    </xf>
    <xf numFmtId="0" fontId="13" fillId="0" borderId="0" xfId="0" applyAlignment="1">
      <alignment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3" fontId="36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37" fillId="0" borderId="24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21" fillId="0" borderId="24" xfId="0" applyNumberFormat="1" applyFont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3" fontId="13" fillId="0" borderId="55" xfId="0" applyNumberFormat="1" applyFont="1" applyBorder="1" applyAlignment="1">
      <alignment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3" fontId="13" fillId="0" borderId="56" xfId="0" applyNumberFormat="1" applyFont="1" applyBorder="1" applyAlignment="1">
      <alignment vertical="center"/>
    </xf>
    <xf numFmtId="3" fontId="13" fillId="0" borderId="0" xfId="0" applyNumberFormat="1" applyAlignment="1">
      <alignment vertical="center"/>
    </xf>
    <xf numFmtId="0" fontId="13" fillId="0" borderId="60" xfId="0" applyFont="1" applyBorder="1" applyAlignment="1">
      <alignment horizontal="center" vertical="center"/>
    </xf>
    <xf numFmtId="3" fontId="13" fillId="0" borderId="60" xfId="0" applyNumberFormat="1" applyFont="1" applyBorder="1" applyAlignment="1">
      <alignment vertical="center"/>
    </xf>
    <xf numFmtId="0" fontId="13" fillId="0" borderId="0" xfId="0" applyBorder="1" applyAlignment="1">
      <alignment horizontal="center" vertical="center"/>
    </xf>
    <xf numFmtId="0" fontId="13" fillId="0" borderId="0" xfId="0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4" fontId="3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4" fontId="39" fillId="0" borderId="0" xfId="0" applyNumberFormat="1" applyFont="1" applyAlignment="1">
      <alignment vertical="center"/>
    </xf>
    <xf numFmtId="4" fontId="13" fillId="0" borderId="0" xfId="0" applyNumberFormat="1" applyAlignment="1">
      <alignment vertical="center"/>
    </xf>
    <xf numFmtId="0" fontId="13" fillId="0" borderId="61" xfId="0" applyBorder="1" applyAlignment="1">
      <alignment vertical="center"/>
    </xf>
    <xf numFmtId="4" fontId="39" fillId="0" borderId="61" xfId="0" applyNumberFormat="1" applyFont="1" applyBorder="1" applyAlignment="1">
      <alignment horizontal="center" vertical="center"/>
    </xf>
    <xf numFmtId="3" fontId="13" fillId="0" borderId="0" xfId="0" applyNumberFormat="1" applyBorder="1" applyAlignment="1">
      <alignment horizontal="center" vertical="center"/>
    </xf>
    <xf numFmtId="4" fontId="39" fillId="0" borderId="61" xfId="0" applyNumberFormat="1" applyFont="1" applyBorder="1" applyAlignment="1">
      <alignment vertical="center"/>
    </xf>
    <xf numFmtId="4" fontId="39" fillId="0" borderId="0" xfId="0" applyNumberFormat="1" applyFont="1" applyAlignment="1">
      <alignment horizontal="center" vertical="center"/>
    </xf>
    <xf numFmtId="3" fontId="13" fillId="0" borderId="0" xfId="0" applyNumberFormat="1" applyAlignment="1">
      <alignment horizontal="center" vertical="center"/>
    </xf>
    <xf numFmtId="0" fontId="12" fillId="0" borderId="0" xfId="18">
      <alignment/>
      <protection/>
    </xf>
    <xf numFmtId="0" fontId="12" fillId="0" borderId="0" xfId="18" applyAlignment="1">
      <alignment horizontal="center"/>
      <protection/>
    </xf>
    <xf numFmtId="0" fontId="40" fillId="0" borderId="0" xfId="18" applyFont="1" applyAlignment="1">
      <alignment horizontal="center"/>
      <protection/>
    </xf>
    <xf numFmtId="0" fontId="11" fillId="6" borderId="62" xfId="18" applyFont="1" applyFill="1" applyBorder="1" applyAlignment="1">
      <alignment horizontal="center" vertical="center"/>
      <protection/>
    </xf>
    <xf numFmtId="0" fontId="21" fillId="6" borderId="16" xfId="18" applyFont="1" applyFill="1" applyBorder="1" applyAlignment="1">
      <alignment horizontal="center" vertical="center"/>
      <protection/>
    </xf>
    <xf numFmtId="0" fontId="21" fillId="6" borderId="16" xfId="18" applyFont="1" applyFill="1" applyBorder="1" applyAlignment="1">
      <alignment horizontal="center" vertical="center" wrapText="1"/>
      <protection/>
    </xf>
    <xf numFmtId="0" fontId="21" fillId="6" borderId="63" xfId="18" applyFont="1" applyFill="1" applyBorder="1" applyAlignment="1">
      <alignment horizontal="center" vertical="center"/>
      <protection/>
    </xf>
    <xf numFmtId="4" fontId="41" fillId="7" borderId="22" xfId="15" applyNumberFormat="1" applyFont="1" applyFill="1" applyBorder="1" applyAlignment="1">
      <alignment horizontal="center" vertical="center"/>
    </xf>
    <xf numFmtId="4" fontId="12" fillId="7" borderId="22" xfId="15" applyNumberFormat="1" applyFill="1" applyBorder="1" applyAlignment="1">
      <alignment horizontal="center" vertical="center"/>
    </xf>
    <xf numFmtId="4" fontId="12" fillId="7" borderId="64" xfId="15" applyNumberFormat="1" applyFill="1" applyBorder="1" applyAlignment="1">
      <alignment horizontal="center" vertical="center"/>
    </xf>
    <xf numFmtId="49" fontId="11" fillId="0" borderId="25" xfId="18" applyNumberFormat="1" applyFont="1" applyBorder="1" applyAlignment="1">
      <alignment horizontal="center" vertical="center"/>
      <protection/>
    </xf>
    <xf numFmtId="49" fontId="11" fillId="0" borderId="24" xfId="18" applyNumberFormat="1" applyFont="1" applyBorder="1" applyAlignment="1">
      <alignment horizontal="center" vertical="center"/>
      <protection/>
    </xf>
    <xf numFmtId="0" fontId="11" fillId="0" borderId="24" xfId="18" applyFont="1" applyBorder="1" applyAlignment="1">
      <alignment horizontal="center" vertical="center" wrapText="1"/>
      <protection/>
    </xf>
    <xf numFmtId="4" fontId="11" fillId="0" borderId="24" xfId="15" applyNumberFormat="1" applyFont="1" applyBorder="1" applyAlignment="1">
      <alignment horizontal="center" vertical="center"/>
    </xf>
    <xf numFmtId="4" fontId="12" fillId="0" borderId="24" xfId="15" applyNumberFormat="1" applyBorder="1" applyAlignment="1">
      <alignment horizontal="center" vertical="center"/>
    </xf>
    <xf numFmtId="4" fontId="12" fillId="0" borderId="65" xfId="15" applyNumberFormat="1" applyBorder="1" applyAlignment="1">
      <alignment horizontal="center" vertical="center"/>
    </xf>
    <xf numFmtId="49" fontId="42" fillId="0" borderId="25" xfId="18" applyNumberFormat="1" applyFont="1" applyBorder="1" applyAlignment="1">
      <alignment horizontal="center" vertical="center"/>
      <protection/>
    </xf>
    <xf numFmtId="49" fontId="42" fillId="0" borderId="24" xfId="18" applyNumberFormat="1" applyFont="1" applyBorder="1" applyAlignment="1">
      <alignment horizontal="center" vertical="center"/>
      <protection/>
    </xf>
    <xf numFmtId="0" fontId="43" fillId="0" borderId="12" xfId="18" applyFont="1" applyBorder="1" applyAlignment="1">
      <alignment horizontal="left" vertical="center" wrapText="1"/>
      <protection/>
    </xf>
    <xf numFmtId="4" fontId="43" fillId="0" borderId="12" xfId="18" applyNumberFormat="1" applyFont="1" applyBorder="1" applyAlignment="1">
      <alignment horizontal="right" vertical="center" wrapText="1"/>
      <protection/>
    </xf>
    <xf numFmtId="4" fontId="42" fillId="0" borderId="12" xfId="15" applyNumberFormat="1" applyFont="1" applyBorder="1" applyAlignment="1">
      <alignment horizontal="right" vertical="center"/>
    </xf>
    <xf numFmtId="4" fontId="42" fillId="0" borderId="12" xfId="15" applyNumberFormat="1" applyFont="1" applyBorder="1" applyAlignment="1">
      <alignment horizontal="center" vertical="center"/>
    </xf>
    <xf numFmtId="4" fontId="42" fillId="0" borderId="66" xfId="15" applyNumberFormat="1" applyFont="1" applyBorder="1" applyAlignment="1">
      <alignment horizontal="center" vertical="center"/>
    </xf>
    <xf numFmtId="4" fontId="12" fillId="0" borderId="0" xfId="18" applyNumberFormat="1">
      <alignment/>
      <protection/>
    </xf>
    <xf numFmtId="49" fontId="12" fillId="0" borderId="67" xfId="18" applyNumberFormat="1" applyBorder="1" applyAlignment="1">
      <alignment horizontal="center" vertical="center"/>
      <protection/>
    </xf>
    <xf numFmtId="49" fontId="12" fillId="0" borderId="0" xfId="18" applyNumberFormat="1" applyFont="1" applyBorder="1" applyAlignment="1">
      <alignment horizontal="center" vertical="center"/>
      <protection/>
    </xf>
    <xf numFmtId="0" fontId="13" fillId="0" borderId="12" xfId="18" applyFont="1" applyBorder="1" applyAlignment="1">
      <alignment horizontal="left" vertical="center" wrapText="1"/>
      <protection/>
    </xf>
    <xf numFmtId="4" fontId="12" fillId="0" borderId="68" xfId="18" applyNumberFormat="1" applyFont="1" applyBorder="1" applyAlignment="1">
      <alignment horizontal="right" vertical="center" wrapText="1"/>
      <protection/>
    </xf>
    <xf numFmtId="4" fontId="13" fillId="0" borderId="12" xfId="15" applyNumberFormat="1" applyFont="1" applyBorder="1" applyAlignment="1">
      <alignment horizontal="right" vertical="center"/>
    </xf>
    <xf numFmtId="4" fontId="12" fillId="0" borderId="69" xfId="15" applyNumberFormat="1" applyBorder="1" applyAlignment="1">
      <alignment horizontal="center" vertical="center"/>
    </xf>
    <xf numFmtId="4" fontId="12" fillId="0" borderId="66" xfId="15" applyNumberFormat="1" applyBorder="1" applyAlignment="1">
      <alignment horizontal="center" vertical="center"/>
    </xf>
    <xf numFmtId="0" fontId="13" fillId="0" borderId="56" xfId="18" applyFont="1" applyBorder="1" applyAlignment="1">
      <alignment horizontal="left" vertical="center" wrapText="1"/>
      <protection/>
    </xf>
    <xf numFmtId="4" fontId="12" fillId="0" borderId="58" xfId="18" applyNumberFormat="1" applyFont="1" applyBorder="1" applyAlignment="1">
      <alignment horizontal="right" vertical="center" wrapText="1"/>
      <protection/>
    </xf>
    <xf numFmtId="4" fontId="13" fillId="0" borderId="56" xfId="15" applyNumberFormat="1" applyFont="1" applyBorder="1" applyAlignment="1">
      <alignment horizontal="right" vertical="center"/>
    </xf>
    <xf numFmtId="4" fontId="12" fillId="0" borderId="59" xfId="15" applyNumberFormat="1" applyBorder="1" applyAlignment="1">
      <alignment horizontal="center" vertical="center"/>
    </xf>
    <xf numFmtId="4" fontId="12" fillId="0" borderId="70" xfId="15" applyNumberFormat="1" applyBorder="1" applyAlignment="1">
      <alignment horizontal="center" vertical="center"/>
    </xf>
    <xf numFmtId="0" fontId="13" fillId="0" borderId="22" xfId="18" applyFont="1" applyBorder="1" applyAlignment="1">
      <alignment horizontal="left" vertical="center" wrapText="1"/>
      <protection/>
    </xf>
    <xf numFmtId="4" fontId="12" fillId="0" borderId="0" xfId="18" applyNumberFormat="1" applyFont="1" applyBorder="1" applyAlignment="1">
      <alignment horizontal="right" vertical="center" wrapText="1"/>
      <protection/>
    </xf>
    <xf numFmtId="4" fontId="13" fillId="0" borderId="22" xfId="15" applyNumberFormat="1" applyFont="1" applyBorder="1" applyAlignment="1">
      <alignment horizontal="right" vertical="center"/>
    </xf>
    <xf numFmtId="4" fontId="12" fillId="0" borderId="45" xfId="15" applyNumberFormat="1" applyBorder="1" applyAlignment="1">
      <alignment horizontal="center" vertical="center"/>
    </xf>
    <xf numFmtId="4" fontId="12" fillId="0" borderId="71" xfId="15" applyNumberFormat="1" applyBorder="1" applyAlignment="1">
      <alignment horizontal="center" vertical="center"/>
    </xf>
    <xf numFmtId="0" fontId="43" fillId="0" borderId="24" xfId="18" applyFont="1" applyBorder="1" applyAlignment="1">
      <alignment horizontal="left" vertical="center" wrapText="1"/>
      <protection/>
    </xf>
    <xf numFmtId="4" fontId="42" fillId="0" borderId="24" xfId="18" applyNumberFormat="1" applyFont="1" applyBorder="1" applyAlignment="1">
      <alignment horizontal="right" vertical="center" wrapText="1"/>
      <protection/>
    </xf>
    <xf numFmtId="4" fontId="43" fillId="0" borderId="24" xfId="15" applyNumberFormat="1" applyFont="1" applyBorder="1" applyAlignment="1">
      <alignment horizontal="right" vertical="center"/>
    </xf>
    <xf numFmtId="0" fontId="13" fillId="0" borderId="13" xfId="18" applyFont="1" applyBorder="1" applyAlignment="1">
      <alignment horizontal="left" vertical="center" wrapText="1"/>
      <protection/>
    </xf>
    <xf numFmtId="4" fontId="13" fillId="0" borderId="13" xfId="15" applyNumberFormat="1" applyFont="1" applyBorder="1" applyAlignment="1">
      <alignment horizontal="right" vertical="center"/>
    </xf>
    <xf numFmtId="49" fontId="12" fillId="0" borderId="25" xfId="18" applyNumberFormat="1" applyBorder="1" applyAlignment="1">
      <alignment horizontal="center" vertical="center"/>
      <protection/>
    </xf>
    <xf numFmtId="49" fontId="12" fillId="0" borderId="24" xfId="18" applyNumberFormat="1" applyFont="1" applyBorder="1" applyAlignment="1">
      <alignment horizontal="center" vertical="center"/>
      <protection/>
    </xf>
    <xf numFmtId="0" fontId="44" fillId="0" borderId="24" xfId="18" applyFont="1" applyBorder="1" applyAlignment="1">
      <alignment horizontal="right" vertical="center" wrapText="1"/>
      <protection/>
    </xf>
    <xf numFmtId="4" fontId="11" fillId="0" borderId="24" xfId="18" applyNumberFormat="1" applyFont="1" applyBorder="1" applyAlignment="1">
      <alignment horizontal="right" vertical="center" wrapText="1"/>
      <protection/>
    </xf>
    <xf numFmtId="4" fontId="12" fillId="0" borderId="31" xfId="15" applyNumberFormat="1" applyBorder="1" applyAlignment="1">
      <alignment horizontal="center" vertical="center"/>
    </xf>
    <xf numFmtId="4" fontId="42" fillId="0" borderId="12" xfId="18" applyNumberFormat="1" applyFont="1" applyBorder="1" applyAlignment="1">
      <alignment horizontal="right" vertical="center" wrapText="1"/>
      <protection/>
    </xf>
    <xf numFmtId="4" fontId="43" fillId="0" borderId="12" xfId="15" applyNumberFormat="1" applyFont="1" applyBorder="1" applyAlignment="1">
      <alignment horizontal="right" vertical="center"/>
    </xf>
    <xf numFmtId="4" fontId="12" fillId="0" borderId="12" xfId="15" applyNumberFormat="1" applyBorder="1" applyAlignment="1">
      <alignment horizontal="center" vertical="center"/>
    </xf>
    <xf numFmtId="49" fontId="12" fillId="0" borderId="72" xfId="18" applyNumberFormat="1" applyBorder="1" applyAlignment="1">
      <alignment horizontal="center" vertical="center"/>
      <protection/>
    </xf>
    <xf numFmtId="49" fontId="12" fillId="0" borderId="73" xfId="18" applyNumberFormat="1" applyBorder="1" applyAlignment="1">
      <alignment horizontal="center" vertical="center"/>
      <protection/>
    </xf>
    <xf numFmtId="0" fontId="11" fillId="0" borderId="73" xfId="18" applyFont="1" applyBorder="1" applyAlignment="1">
      <alignment horizontal="center" vertical="center" wrapText="1"/>
      <protection/>
    </xf>
    <xf numFmtId="4" fontId="11" fillId="0" borderId="73" xfId="18" applyNumberFormat="1" applyFont="1" applyBorder="1" applyAlignment="1">
      <alignment horizontal="center" vertical="center" wrapText="1"/>
      <protection/>
    </xf>
    <xf numFmtId="4" fontId="11" fillId="0" borderId="73" xfId="15" applyNumberFormat="1" applyFont="1" applyBorder="1" applyAlignment="1">
      <alignment horizontal="center" vertical="center"/>
    </xf>
    <xf numFmtId="4" fontId="12" fillId="0" borderId="74" xfId="15" applyNumberFormat="1" applyBorder="1" applyAlignment="1">
      <alignment horizontal="center" vertical="center"/>
    </xf>
    <xf numFmtId="4" fontId="41" fillId="7" borderId="22" xfId="18" applyNumberFormat="1" applyFont="1" applyFill="1" applyBorder="1" applyAlignment="1">
      <alignment horizontal="center" vertical="center" wrapText="1"/>
      <protection/>
    </xf>
    <xf numFmtId="4" fontId="42" fillId="7" borderId="22" xfId="15" applyNumberFormat="1" applyFont="1" applyFill="1" applyBorder="1" applyAlignment="1">
      <alignment horizontal="center" vertical="center"/>
    </xf>
    <xf numFmtId="4" fontId="41" fillId="7" borderId="75" xfId="15" applyNumberFormat="1" applyFont="1" applyFill="1" applyBorder="1" applyAlignment="1">
      <alignment horizontal="center" vertical="center"/>
    </xf>
    <xf numFmtId="4" fontId="11" fillId="0" borderId="24" xfId="18" applyNumberFormat="1" applyFont="1" applyBorder="1" applyAlignment="1">
      <alignment horizontal="center" vertical="center" wrapText="1"/>
      <protection/>
    </xf>
    <xf numFmtId="4" fontId="11" fillId="0" borderId="31" xfId="15" applyNumberFormat="1" applyFont="1" applyBorder="1" applyAlignment="1">
      <alignment horizontal="center" vertical="center"/>
    </xf>
    <xf numFmtId="4" fontId="44" fillId="0" borderId="12" xfId="18" applyNumberFormat="1" applyFont="1" applyBorder="1" applyAlignment="1">
      <alignment horizontal="left" vertical="center" wrapText="1"/>
      <protection/>
    </xf>
    <xf numFmtId="4" fontId="42" fillId="0" borderId="24" xfId="15" applyNumberFormat="1" applyFont="1" applyBorder="1" applyAlignment="1">
      <alignment horizontal="center" vertical="center"/>
    </xf>
    <xf numFmtId="0" fontId="13" fillId="0" borderId="55" xfId="18" applyFont="1" applyBorder="1" applyAlignment="1">
      <alignment horizontal="left" vertical="center" wrapText="1"/>
      <protection/>
    </xf>
    <xf numFmtId="4" fontId="12" fillId="0" borderId="76" xfId="18" applyNumberFormat="1" applyFont="1" applyBorder="1" applyAlignment="1">
      <alignment horizontal="right" vertical="center" wrapText="1"/>
      <protection/>
    </xf>
    <xf numFmtId="4" fontId="13" fillId="0" borderId="55" xfId="15" applyNumberFormat="1" applyFont="1" applyBorder="1" applyAlignment="1">
      <alignment horizontal="right" vertical="center"/>
    </xf>
    <xf numFmtId="4" fontId="12" fillId="0" borderId="77" xfId="15" applyNumberFormat="1" applyBorder="1" applyAlignment="1">
      <alignment horizontal="center" vertical="center"/>
    </xf>
    <xf numFmtId="4" fontId="12" fillId="0" borderId="78" xfId="15" applyNumberFormat="1" applyBorder="1" applyAlignment="1">
      <alignment horizontal="center" vertical="center"/>
    </xf>
    <xf numFmtId="4" fontId="43" fillId="0" borderId="24" xfId="18" applyNumberFormat="1" applyFont="1" applyBorder="1" applyAlignment="1">
      <alignment horizontal="left" vertical="center" wrapText="1"/>
      <protection/>
    </xf>
    <xf numFmtId="4" fontId="42" fillId="0" borderId="31" xfId="15" applyNumberFormat="1" applyFont="1" applyBorder="1" applyAlignment="1">
      <alignment horizontal="center" vertical="center"/>
    </xf>
    <xf numFmtId="4" fontId="11" fillId="0" borderId="31" xfId="18" applyNumberFormat="1" applyFont="1" applyBorder="1" applyAlignment="1">
      <alignment horizontal="right" vertical="center" wrapText="1"/>
      <protection/>
    </xf>
    <xf numFmtId="0" fontId="11" fillId="0" borderId="16" xfId="18" applyNumberFormat="1" applyFont="1" applyBorder="1" applyAlignment="1">
      <alignment horizontal="center" vertical="center" wrapText="1"/>
      <protection/>
    </xf>
    <xf numFmtId="4" fontId="20" fillId="0" borderId="16" xfId="15" applyNumberFormat="1" applyFont="1" applyBorder="1" applyAlignment="1">
      <alignment horizontal="center" vertical="center"/>
    </xf>
    <xf numFmtId="4" fontId="20" fillId="0" borderId="63" xfId="15" applyNumberFormat="1" applyFont="1" applyBorder="1" applyAlignment="1">
      <alignment horizontal="center" vertical="center"/>
    </xf>
    <xf numFmtId="49" fontId="12" fillId="0" borderId="0" xfId="18" applyNumberFormat="1" applyAlignment="1">
      <alignment horizontal="center" vertical="center"/>
      <protection/>
    </xf>
    <xf numFmtId="181" fontId="12" fillId="0" borderId="0" xfId="15" applyNumberFormat="1" applyAlignment="1">
      <alignment/>
    </xf>
    <xf numFmtId="0" fontId="13" fillId="0" borderId="0" xfId="20">
      <alignment/>
      <protection/>
    </xf>
    <xf numFmtId="0" fontId="16" fillId="0" borderId="0" xfId="20" applyFont="1" applyAlignment="1">
      <alignment horizontal="center" vertical="center"/>
      <protection/>
    </xf>
    <xf numFmtId="0" fontId="13" fillId="0" borderId="0" xfId="20" applyAlignment="1">
      <alignment vertical="center"/>
      <protection/>
    </xf>
    <xf numFmtId="0" fontId="39" fillId="0" borderId="0" xfId="20" applyFont="1" applyAlignment="1">
      <alignment horizontal="right" vertical="center"/>
      <protection/>
    </xf>
    <xf numFmtId="0" fontId="13" fillId="0" borderId="0" xfId="20" applyFont="1">
      <alignment/>
      <protection/>
    </xf>
    <xf numFmtId="0" fontId="45" fillId="0" borderId="24" xfId="20" applyFont="1" applyBorder="1" applyAlignment="1">
      <alignment horizontal="center" vertical="center"/>
      <protection/>
    </xf>
    <xf numFmtId="0" fontId="39" fillId="0" borderId="55" xfId="20" applyFont="1" applyBorder="1" applyAlignment="1">
      <alignment horizontal="center" vertical="center"/>
      <protection/>
    </xf>
    <xf numFmtId="0" fontId="13" fillId="0" borderId="55" xfId="20" applyFont="1" applyBorder="1" applyAlignment="1">
      <alignment horizontal="center" vertical="center"/>
      <protection/>
    </xf>
    <xf numFmtId="0" fontId="13" fillId="0" borderId="55" xfId="20" applyFont="1" applyBorder="1" applyAlignment="1">
      <alignment vertical="center" wrapText="1"/>
      <protection/>
    </xf>
    <xf numFmtId="0" fontId="39" fillId="0" borderId="24" xfId="20" applyFont="1" applyBorder="1" applyAlignment="1">
      <alignment horizontal="center" vertical="center"/>
      <protection/>
    </xf>
    <xf numFmtId="0" fontId="13" fillId="0" borderId="24" xfId="20" applyFont="1" applyBorder="1" applyAlignment="1">
      <alignment horizontal="center" vertical="center"/>
      <protection/>
    </xf>
    <xf numFmtId="0" fontId="13" fillId="0" borderId="24" xfId="20" applyFont="1" applyBorder="1" applyAlignment="1">
      <alignment vertical="center" wrapText="1"/>
      <protection/>
    </xf>
    <xf numFmtId="0" fontId="13" fillId="0" borderId="16" xfId="20" applyFont="1" applyBorder="1" applyAlignment="1">
      <alignment vertical="center"/>
      <protection/>
    </xf>
    <xf numFmtId="0" fontId="12" fillId="0" borderId="0" xfId="20" applyFont="1">
      <alignment/>
      <protection/>
    </xf>
    <xf numFmtId="4" fontId="21" fillId="0" borderId="0" xfId="0" applyNumberFormat="1" applyFont="1" applyAlignment="1">
      <alignment horizontal="right" vertical="center" wrapText="1"/>
    </xf>
    <xf numFmtId="3" fontId="13" fillId="0" borderId="55" xfId="20" applyNumberFormat="1" applyFont="1" applyBorder="1" applyAlignment="1">
      <alignment horizontal="center" vertical="center"/>
      <protection/>
    </xf>
    <xf numFmtId="3" fontId="13" fillId="0" borderId="24" xfId="20" applyNumberFormat="1" applyFont="1" applyBorder="1" applyAlignment="1">
      <alignment horizontal="center" vertical="center"/>
      <protection/>
    </xf>
    <xf numFmtId="3" fontId="13" fillId="0" borderId="27" xfId="20" applyNumberFormat="1" applyFont="1" applyBorder="1" applyAlignment="1">
      <alignment horizontal="center" vertical="center"/>
      <protection/>
    </xf>
    <xf numFmtId="49" fontId="10" fillId="2" borderId="79" xfId="0" applyFont="1" applyBorder="1" applyAlignment="1">
      <alignment vertical="center" wrapText="1"/>
    </xf>
    <xf numFmtId="49" fontId="10" fillId="2" borderId="80" xfId="0" applyFont="1" applyBorder="1" applyAlignment="1">
      <alignment vertical="center" wrapText="1"/>
    </xf>
    <xf numFmtId="49" fontId="6" fillId="2" borderId="81" xfId="0" applyBorder="1" applyAlignment="1">
      <alignment horizontal="center" vertical="center" wrapText="1"/>
    </xf>
    <xf numFmtId="49" fontId="2" fillId="2" borderId="82" xfId="0" applyBorder="1" applyAlignment="1">
      <alignment horizontal="center" vertical="center" wrapText="1"/>
    </xf>
    <xf numFmtId="49" fontId="6" fillId="2" borderId="40" xfId="0" applyBorder="1" applyAlignment="1">
      <alignment horizontal="center" vertical="center" wrapText="1"/>
    </xf>
    <xf numFmtId="49" fontId="2" fillId="2" borderId="83" xfId="0" applyBorder="1" applyAlignment="1">
      <alignment horizontal="center" vertical="center" wrapText="1"/>
    </xf>
    <xf numFmtId="49" fontId="10" fillId="2" borderId="40" xfId="0" applyFont="1" applyBorder="1" applyAlignment="1">
      <alignment vertical="center" wrapText="1"/>
    </xf>
    <xf numFmtId="49" fontId="6" fillId="4" borderId="9" xfId="0" applyBorder="1" applyAlignment="1">
      <alignment vertical="center" wrapText="1"/>
    </xf>
    <xf numFmtId="49" fontId="6" fillId="4" borderId="84" xfId="0" applyBorder="1" applyAlignment="1">
      <alignment vertical="center" wrapText="1"/>
    </xf>
    <xf numFmtId="49" fontId="6" fillId="2" borderId="84" xfId="0" applyBorder="1" applyAlignment="1">
      <alignment vertical="center" wrapText="1"/>
    </xf>
    <xf numFmtId="49" fontId="6" fillId="2" borderId="6" xfId="0" applyBorder="1" applyAlignment="1">
      <alignment vertical="center" wrapText="1"/>
    </xf>
    <xf numFmtId="49" fontId="6" fillId="2" borderId="84" xfId="0" applyFont="1" applyBorder="1" applyAlignment="1">
      <alignment horizontal="right" vertical="center" wrapText="1"/>
    </xf>
    <xf numFmtId="49" fontId="6" fillId="4" borderId="6" xfId="0" applyBorder="1" applyAlignment="1">
      <alignment vertical="center" wrapText="1"/>
    </xf>
    <xf numFmtId="4" fontId="6" fillId="4" borderId="1" xfId="0" applyNumberFormat="1" applyFont="1" applyAlignment="1">
      <alignment horizontal="right" vertical="center" wrapText="1"/>
    </xf>
    <xf numFmtId="4" fontId="6" fillId="4" borderId="84" xfId="0" applyNumberFormat="1" applyBorder="1" applyAlignment="1">
      <alignment horizontal="right" vertical="center" wrapText="1"/>
    </xf>
    <xf numFmtId="49" fontId="6" fillId="2" borderId="85" xfId="0" applyBorder="1" applyAlignment="1">
      <alignment horizontal="center" vertical="center" wrapText="1"/>
    </xf>
    <xf numFmtId="49" fontId="6" fillId="2" borderId="86" xfId="0" applyBorder="1" applyAlignment="1">
      <alignment horizontal="center" vertical="center" wrapText="1"/>
    </xf>
    <xf numFmtId="49" fontId="6" fillId="2" borderId="86" xfId="0" applyBorder="1" applyAlignment="1">
      <alignment horizontal="left" vertical="center" wrapText="1"/>
    </xf>
    <xf numFmtId="49" fontId="6" fillId="2" borderId="86" xfId="0" applyBorder="1" applyAlignment="1">
      <alignment horizontal="right" vertical="center" wrapText="1"/>
    </xf>
    <xf numFmtId="4" fontId="6" fillId="2" borderId="86" xfId="0" applyNumberFormat="1" applyBorder="1" applyAlignment="1">
      <alignment horizontal="right" vertical="center" wrapText="1"/>
    </xf>
    <xf numFmtId="49" fontId="2" fillId="2" borderId="87" xfId="0" applyBorder="1" applyAlignment="1">
      <alignment horizontal="center" vertical="center" wrapText="1"/>
    </xf>
    <xf numFmtId="49" fontId="6" fillId="0" borderId="88" xfId="0" applyFill="1" applyBorder="1" applyAlignment="1">
      <alignment vertical="center" wrapText="1"/>
    </xf>
    <xf numFmtId="49" fontId="6" fillId="0" borderId="89" xfId="0" applyFill="1" applyBorder="1" applyAlignment="1">
      <alignment vertical="center" wrapText="1"/>
    </xf>
    <xf numFmtId="49" fontId="6" fillId="0" borderId="90" xfId="0" applyFont="1" applyFill="1" applyBorder="1" applyAlignment="1">
      <alignment vertical="center" wrapText="1"/>
    </xf>
    <xf numFmtId="49" fontId="6" fillId="0" borderId="91" xfId="0" applyFill="1" applyBorder="1" applyAlignment="1">
      <alignment horizontal="right" vertical="center" wrapText="1"/>
    </xf>
    <xf numFmtId="4" fontId="6" fillId="0" borderId="91" xfId="0" applyNumberFormat="1" applyFont="1" applyFill="1" applyBorder="1" applyAlignment="1">
      <alignment horizontal="right" vertical="center" wrapText="1"/>
    </xf>
    <xf numFmtId="3" fontId="12" fillId="0" borderId="13" xfId="19" applyNumberFormat="1" applyFont="1" applyFill="1" applyBorder="1" applyAlignment="1">
      <alignment horizontal="center" vertical="center" wrapText="1"/>
      <protection/>
    </xf>
    <xf numFmtId="0" fontId="21" fillId="5" borderId="31" xfId="19" applyFont="1" applyFill="1" applyBorder="1" applyAlignment="1">
      <alignment horizontal="center" vertical="center" wrapText="1"/>
      <protection/>
    </xf>
    <xf numFmtId="0" fontId="21" fillId="5" borderId="92" xfId="19" applyFont="1" applyFill="1" applyBorder="1" applyAlignment="1">
      <alignment horizontal="center" vertical="center" wrapText="1"/>
      <protection/>
    </xf>
    <xf numFmtId="0" fontId="20" fillId="5" borderId="24" xfId="19" applyFont="1" applyFill="1" applyBorder="1" applyAlignment="1">
      <alignment horizontal="center" vertical="center" wrapText="1"/>
      <protection/>
    </xf>
    <xf numFmtId="0" fontId="20" fillId="5" borderId="12" xfId="19" applyFont="1" applyFill="1" applyBorder="1" applyAlignment="1">
      <alignment horizontal="center" vertical="center" wrapText="1"/>
      <protection/>
    </xf>
    <xf numFmtId="0" fontId="23" fillId="0" borderId="93" xfId="20" applyFont="1" applyFill="1" applyBorder="1" applyAlignment="1">
      <alignment horizontal="left" vertical="center" wrapText="1"/>
      <protection/>
    </xf>
    <xf numFmtId="0" fontId="23" fillId="0" borderId="41" xfId="20" applyFont="1" applyFill="1" applyBorder="1" applyAlignment="1">
      <alignment horizontal="left" vertical="center" wrapText="1"/>
      <protection/>
    </xf>
    <xf numFmtId="0" fontId="20" fillId="0" borderId="46" xfId="20" applyFont="1" applyFill="1" applyBorder="1" applyAlignment="1">
      <alignment horizontal="center" vertical="center" wrapText="1"/>
      <protection/>
    </xf>
    <xf numFmtId="0" fontId="20" fillId="0" borderId="28" xfId="20" applyFont="1" applyFill="1" applyBorder="1" applyAlignment="1">
      <alignment horizontal="center" vertical="center" wrapText="1"/>
      <protection/>
    </xf>
    <xf numFmtId="0" fontId="23" fillId="0" borderId="94" xfId="19" applyFont="1" applyFill="1" applyBorder="1" applyAlignment="1">
      <alignment horizontal="left" vertical="center" wrapText="1"/>
      <protection/>
    </xf>
    <xf numFmtId="0" fontId="23" fillId="0" borderId="48" xfId="19" applyFont="1" applyFill="1" applyBorder="1" applyAlignment="1">
      <alignment horizontal="left" vertical="center" wrapText="1"/>
      <protection/>
    </xf>
    <xf numFmtId="0" fontId="20" fillId="5" borderId="95" xfId="19" applyFont="1" applyFill="1" applyBorder="1" applyAlignment="1">
      <alignment horizontal="center" vertical="center" wrapText="1"/>
      <protection/>
    </xf>
    <xf numFmtId="0" fontId="20" fillId="5" borderId="10" xfId="19" applyFont="1" applyFill="1" applyBorder="1" applyAlignment="1">
      <alignment horizontal="center" vertical="center" wrapText="1"/>
      <protection/>
    </xf>
    <xf numFmtId="0" fontId="20" fillId="5" borderId="44" xfId="19" applyFont="1" applyFill="1" applyBorder="1" applyAlignment="1">
      <alignment horizontal="center" vertical="center" wrapText="1"/>
      <protection/>
    </xf>
    <xf numFmtId="0" fontId="16" fillId="0" borderId="0" xfId="19" applyFont="1" applyAlignment="1">
      <alignment horizontal="center" vertical="center" wrapText="1"/>
      <protection/>
    </xf>
    <xf numFmtId="0" fontId="21" fillId="5" borderId="96" xfId="19" applyFont="1" applyFill="1" applyBorder="1" applyAlignment="1">
      <alignment horizontal="center" vertical="center" wrapText="1"/>
      <protection/>
    </xf>
    <xf numFmtId="0" fontId="23" fillId="0" borderId="97" xfId="19" applyFont="1" applyFill="1" applyBorder="1" applyAlignment="1">
      <alignment horizontal="left" vertical="center" wrapText="1"/>
      <protection/>
    </xf>
    <xf numFmtId="0" fontId="23" fillId="0" borderId="8" xfId="19" applyFont="1" applyFill="1" applyBorder="1" applyAlignment="1">
      <alignment horizontal="left" vertical="center" wrapText="1"/>
      <protection/>
    </xf>
    <xf numFmtId="0" fontId="23" fillId="0" borderId="98" xfId="19" applyFont="1" applyFill="1" applyBorder="1" applyAlignment="1">
      <alignment horizontal="left" vertical="center" wrapText="1"/>
      <protection/>
    </xf>
    <xf numFmtId="0" fontId="23" fillId="0" borderId="99" xfId="19" applyFont="1" applyFill="1" applyBorder="1" applyAlignment="1">
      <alignment horizontal="left" vertical="center" wrapText="1"/>
      <protection/>
    </xf>
    <xf numFmtId="0" fontId="23" fillId="0" borderId="100" xfId="19" applyFont="1" applyFill="1" applyBorder="1" applyAlignment="1">
      <alignment horizontal="left" vertical="center" wrapText="1"/>
      <protection/>
    </xf>
    <xf numFmtId="0" fontId="20" fillId="0" borderId="62" xfId="19" applyFont="1" applyFill="1" applyBorder="1" applyAlignment="1">
      <alignment horizontal="center" vertical="center" wrapText="1"/>
      <protection/>
    </xf>
    <xf numFmtId="0" fontId="20" fillId="0" borderId="16" xfId="19" applyFont="1" applyFill="1" applyBorder="1" applyAlignment="1">
      <alignment horizontal="center" vertical="center" wrapText="1"/>
      <protection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49" fontId="47" fillId="2" borderId="5" xfId="0" applyFont="1" applyBorder="1" applyAlignment="1">
      <alignment horizontal="center" vertical="center" wrapText="1"/>
    </xf>
    <xf numFmtId="49" fontId="47" fillId="2" borderId="6" xfId="0" applyFont="1" applyBorder="1" applyAlignment="1">
      <alignment horizontal="center" vertical="center" wrapText="1"/>
    </xf>
    <xf numFmtId="49" fontId="4" fillId="2" borderId="1" xfId="0" applyAlignment="1">
      <alignment horizontal="right" vertical="center" wrapText="1"/>
    </xf>
    <xf numFmtId="49" fontId="8" fillId="2" borderId="3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5" fillId="3" borderId="1" xfId="0" applyAlignment="1">
      <alignment horizontal="right" vertical="center" wrapText="1"/>
    </xf>
    <xf numFmtId="49" fontId="9" fillId="2" borderId="0" xfId="0" applyFont="1" applyBorder="1" applyAlignment="1">
      <alignment horizontal="center" vertical="top" wrapText="1"/>
    </xf>
    <xf numFmtId="49" fontId="9" fillId="2" borderId="0" xfId="0" applyFont="1" applyBorder="1" applyAlignment="1">
      <alignment horizontal="center" vertical="top" wrapText="1"/>
    </xf>
    <xf numFmtId="49" fontId="4" fillId="2" borderId="1" xfId="0" applyAlignment="1">
      <alignment horizontal="center" vertical="center" wrapText="1"/>
    </xf>
    <xf numFmtId="49" fontId="10" fillId="0" borderId="5" xfId="0" applyFont="1" applyFill="1" applyBorder="1" applyAlignment="1">
      <alignment horizontal="center" vertical="center" wrapText="1"/>
    </xf>
    <xf numFmtId="49" fontId="10" fillId="0" borderId="6" xfId="0" applyFont="1" applyFill="1" applyBorder="1" applyAlignment="1">
      <alignment horizontal="center" vertical="center" wrapText="1"/>
    </xf>
    <xf numFmtId="49" fontId="2" fillId="2" borderId="101" xfId="0" applyAlignment="1">
      <alignment horizontal="center" vertical="center" wrapText="1"/>
    </xf>
    <xf numFmtId="49" fontId="7" fillId="2" borderId="1" xfId="0" applyAlignment="1">
      <alignment horizontal="right" vertical="center" wrapText="1"/>
    </xf>
    <xf numFmtId="0" fontId="21" fillId="5" borderId="12" xfId="19" applyFont="1" applyFill="1" applyBorder="1" applyAlignment="1">
      <alignment horizontal="center" vertical="center" wrapText="1"/>
      <protection/>
    </xf>
    <xf numFmtId="0" fontId="21" fillId="5" borderId="13" xfId="19" applyFont="1" applyFill="1" applyBorder="1" applyAlignment="1">
      <alignment horizontal="center" vertical="center" wrapText="1"/>
      <protection/>
    </xf>
    <xf numFmtId="0" fontId="21" fillId="5" borderId="22" xfId="19" applyFont="1" applyFill="1" applyBorder="1" applyAlignment="1">
      <alignment horizontal="center" vertical="center" wrapText="1"/>
      <protection/>
    </xf>
    <xf numFmtId="0" fontId="20" fillId="0" borderId="52" xfId="19" applyFont="1" applyFill="1" applyBorder="1" applyAlignment="1">
      <alignment horizontal="center" vertical="center" wrapText="1"/>
      <protection/>
    </xf>
    <xf numFmtId="0" fontId="20" fillId="0" borderId="102" xfId="19" applyFont="1" applyFill="1" applyBorder="1" applyAlignment="1">
      <alignment horizontal="center" vertical="center" wrapText="1"/>
      <protection/>
    </xf>
    <xf numFmtId="0" fontId="20" fillId="0" borderId="53" xfId="19" applyFont="1" applyFill="1" applyBorder="1" applyAlignment="1">
      <alignment horizontal="center" vertical="center" wrapText="1"/>
      <protection/>
    </xf>
    <xf numFmtId="0" fontId="23" fillId="0" borderId="103" xfId="19" applyFont="1" applyFill="1" applyBorder="1" applyAlignment="1">
      <alignment horizontal="left" vertical="center" wrapText="1"/>
      <protection/>
    </xf>
    <xf numFmtId="0" fontId="23" fillId="0" borderId="20" xfId="19" applyFont="1" applyFill="1" applyBorder="1" applyAlignment="1">
      <alignment horizontal="left" vertical="center" wrapText="1"/>
      <protection/>
    </xf>
    <xf numFmtId="3" fontId="21" fillId="5" borderId="28" xfId="19" applyNumberFormat="1" applyFont="1" applyFill="1" applyBorder="1" applyAlignment="1">
      <alignment horizontal="center" vertical="center" wrapText="1"/>
      <protection/>
    </xf>
    <xf numFmtId="3" fontId="21" fillId="5" borderId="13" xfId="19" applyNumberFormat="1" applyFont="1" applyFill="1" applyBorder="1" applyAlignment="1">
      <alignment horizontal="center" vertical="center" wrapText="1"/>
      <protection/>
    </xf>
    <xf numFmtId="0" fontId="23" fillId="0" borderId="93" xfId="19" applyFont="1" applyFill="1" applyBorder="1" applyAlignment="1">
      <alignment horizontal="left" vertical="center" wrapText="1"/>
      <protection/>
    </xf>
    <xf numFmtId="0" fontId="23" fillId="0" borderId="41" xfId="19" applyFont="1" applyFill="1" applyBorder="1" applyAlignment="1">
      <alignment horizontal="left" vertical="center" wrapText="1"/>
      <protection/>
    </xf>
    <xf numFmtId="0" fontId="20" fillId="5" borderId="46" xfId="19" applyFont="1" applyFill="1" applyBorder="1" applyAlignment="1">
      <alignment horizontal="center" vertical="center" wrapText="1"/>
      <protection/>
    </xf>
    <xf numFmtId="0" fontId="20" fillId="5" borderId="39" xfId="19" applyFont="1" applyFill="1" applyBorder="1" applyAlignment="1">
      <alignment horizontal="center" vertical="center" wrapText="1"/>
      <protection/>
    </xf>
    <xf numFmtId="0" fontId="20" fillId="5" borderId="28" xfId="19" applyFont="1" applyFill="1" applyBorder="1" applyAlignment="1">
      <alignment horizontal="center" vertical="center" wrapText="1"/>
      <protection/>
    </xf>
    <xf numFmtId="0" fontId="20" fillId="5" borderId="13" xfId="19" applyFont="1" applyFill="1" applyBorder="1" applyAlignment="1">
      <alignment horizontal="center" vertical="center" wrapText="1"/>
      <protection/>
    </xf>
    <xf numFmtId="3" fontId="12" fillId="0" borderId="22" xfId="19" applyNumberFormat="1" applyFont="1" applyFill="1" applyBorder="1" applyAlignment="1">
      <alignment horizontal="center" vertical="center" wrapText="1"/>
      <protection/>
    </xf>
    <xf numFmtId="3" fontId="12" fillId="0" borderId="12" xfId="19" applyNumberFormat="1" applyFont="1" applyFill="1" applyBorder="1" applyAlignment="1">
      <alignment horizontal="center" vertical="center" wrapText="1"/>
      <protection/>
    </xf>
    <xf numFmtId="3" fontId="12" fillId="0" borderId="104" xfId="19" applyNumberFormat="1" applyFont="1" applyFill="1" applyBorder="1" applyAlignment="1">
      <alignment horizontal="center" vertical="center" wrapText="1"/>
      <protection/>
    </xf>
    <xf numFmtId="3" fontId="12" fillId="0" borderId="45" xfId="19" applyNumberFormat="1" applyFont="1" applyFill="1" applyBorder="1" applyAlignment="1">
      <alignment horizontal="center" vertical="center" wrapText="1"/>
      <protection/>
    </xf>
    <xf numFmtId="3" fontId="12" fillId="0" borderId="18" xfId="19" applyNumberFormat="1" applyFont="1" applyFill="1" applyBorder="1" applyAlignment="1">
      <alignment horizontal="center" vertical="center" wrapText="1"/>
      <protection/>
    </xf>
    <xf numFmtId="0" fontId="12" fillId="0" borderId="28" xfId="19" applyFont="1" applyFill="1" applyBorder="1" applyAlignment="1">
      <alignment horizontal="center" vertical="center" wrapText="1"/>
      <protection/>
    </xf>
    <xf numFmtId="0" fontId="12" fillId="0" borderId="18" xfId="19" applyFont="1" applyFill="1" applyBorder="1" applyAlignment="1">
      <alignment horizontal="center" vertical="center" wrapText="1"/>
      <protection/>
    </xf>
    <xf numFmtId="3" fontId="22" fillId="0" borderId="28" xfId="19" applyNumberFormat="1" applyFont="1" applyFill="1" applyBorder="1" applyAlignment="1">
      <alignment horizontal="left" vertical="center" wrapText="1"/>
      <protection/>
    </xf>
    <xf numFmtId="3" fontId="22" fillId="0" borderId="22" xfId="19" applyNumberFormat="1" applyFont="1" applyFill="1" applyBorder="1" applyAlignment="1">
      <alignment horizontal="left" vertical="center" wrapText="1"/>
      <protection/>
    </xf>
    <xf numFmtId="0" fontId="12" fillId="0" borderId="105" xfId="19" applyFont="1" applyFill="1" applyBorder="1" applyAlignment="1">
      <alignment horizontal="center" vertical="center" wrapText="1"/>
      <protection/>
    </xf>
    <xf numFmtId="0" fontId="12" fillId="0" borderId="75" xfId="19" applyFont="1" applyFill="1" applyBorder="1" applyAlignment="1">
      <alignment horizontal="center" vertical="center" wrapText="1"/>
      <protection/>
    </xf>
    <xf numFmtId="0" fontId="12" fillId="0" borderId="106" xfId="19" applyFont="1" applyFill="1" applyBorder="1" applyAlignment="1">
      <alignment horizontal="center" vertical="center" wrapText="1"/>
      <protection/>
    </xf>
    <xf numFmtId="0" fontId="12" fillId="0" borderId="22" xfId="19" applyFont="1" applyFill="1" applyBorder="1" applyAlignment="1">
      <alignment horizontal="center" vertical="center" wrapText="1"/>
      <protection/>
    </xf>
    <xf numFmtId="0" fontId="12" fillId="0" borderId="69" xfId="19" applyFont="1" applyFill="1" applyBorder="1" applyAlignment="1">
      <alignment horizontal="center" vertical="center" wrapText="1"/>
      <protection/>
    </xf>
    <xf numFmtId="0" fontId="12" fillId="0" borderId="29" xfId="19" applyFont="1" applyFill="1" applyBorder="1" applyAlignment="1">
      <alignment horizontal="center" vertical="center" wrapText="1"/>
      <protection/>
    </xf>
    <xf numFmtId="0" fontId="12" fillId="0" borderId="66" xfId="19" applyFont="1" applyFill="1" applyBorder="1" applyAlignment="1">
      <alignment horizontal="center" vertical="center" wrapText="1"/>
      <protection/>
    </xf>
    <xf numFmtId="0" fontId="12" fillId="0" borderId="50" xfId="19" applyFont="1" applyFill="1" applyBorder="1" applyAlignment="1">
      <alignment horizontal="center" vertical="center" wrapText="1"/>
      <protection/>
    </xf>
    <xf numFmtId="0" fontId="12" fillId="0" borderId="71" xfId="19" applyFont="1" applyFill="1" applyBorder="1" applyAlignment="1">
      <alignment horizontal="center" vertical="center" wrapText="1"/>
      <protection/>
    </xf>
    <xf numFmtId="0" fontId="23" fillId="0" borderId="107" xfId="19" applyFont="1" applyFill="1" applyBorder="1" applyAlignment="1">
      <alignment horizontal="left" vertical="center" wrapText="1"/>
      <protection/>
    </xf>
    <xf numFmtId="0" fontId="23" fillId="0" borderId="108" xfId="19" applyFont="1" applyFill="1" applyBorder="1" applyAlignment="1">
      <alignment horizontal="left" vertical="center" wrapText="1"/>
      <protection/>
    </xf>
    <xf numFmtId="0" fontId="23" fillId="0" borderId="109" xfId="19" applyFont="1" applyFill="1" applyBorder="1" applyAlignment="1">
      <alignment horizontal="left" vertical="center" wrapText="1"/>
      <protection/>
    </xf>
    <xf numFmtId="0" fontId="23" fillId="0" borderId="110" xfId="19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center" vertical="center"/>
    </xf>
    <xf numFmtId="0" fontId="13" fillId="0" borderId="111" xfId="0" applyFont="1" applyBorder="1" applyAlignment="1">
      <alignment horizontal="left" vertical="center"/>
    </xf>
    <xf numFmtId="0" fontId="13" fillId="0" borderId="112" xfId="0" applyFont="1" applyBorder="1" applyAlignment="1">
      <alignment horizontal="left" vertical="center"/>
    </xf>
    <xf numFmtId="0" fontId="13" fillId="0" borderId="113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13" fillId="0" borderId="114" xfId="0" applyFont="1" applyBorder="1" applyAlignment="1">
      <alignment horizontal="left" vertical="center"/>
    </xf>
    <xf numFmtId="0" fontId="13" fillId="0" borderId="76" xfId="0" applyFont="1" applyBorder="1" applyAlignment="1">
      <alignment horizontal="left" vertical="center"/>
    </xf>
    <xf numFmtId="0" fontId="13" fillId="0" borderId="77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21" fillId="6" borderId="115" xfId="0" applyFont="1" applyFill="1" applyBorder="1" applyAlignment="1">
      <alignment horizontal="center" vertical="center"/>
    </xf>
    <xf numFmtId="0" fontId="21" fillId="6" borderId="68" xfId="0" applyFont="1" applyFill="1" applyBorder="1" applyAlignment="1">
      <alignment horizontal="center" vertical="center"/>
    </xf>
    <xf numFmtId="0" fontId="21" fillId="6" borderId="69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61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left" vertical="top" wrapText="1"/>
    </xf>
    <xf numFmtId="0" fontId="13" fillId="0" borderId="58" xfId="0" applyFont="1" applyBorder="1" applyAlignment="1">
      <alignment horizontal="left" vertical="top" wrapText="1"/>
    </xf>
    <xf numFmtId="0" fontId="13" fillId="0" borderId="59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21" fillId="0" borderId="52" xfId="20" applyFont="1" applyBorder="1" applyAlignment="1">
      <alignment horizontal="center" vertical="center"/>
      <protection/>
    </xf>
    <xf numFmtId="0" fontId="21" fillId="0" borderId="102" xfId="20" applyFont="1" applyBorder="1" applyAlignment="1">
      <alignment horizontal="center" vertical="center"/>
      <protection/>
    </xf>
    <xf numFmtId="0" fontId="21" fillId="0" borderId="53" xfId="20" applyFont="1" applyBorder="1" applyAlignment="1">
      <alignment horizontal="center" vertical="center"/>
      <protection/>
    </xf>
    <xf numFmtId="0" fontId="35" fillId="0" borderId="0" xfId="20" applyFont="1" applyAlignment="1">
      <alignment horizontal="center" vertical="center"/>
      <protection/>
    </xf>
    <xf numFmtId="0" fontId="21" fillId="6" borderId="24" xfId="20" applyFont="1" applyFill="1" applyBorder="1" applyAlignment="1">
      <alignment horizontal="center" vertical="center" wrapText="1"/>
      <protection/>
    </xf>
    <xf numFmtId="0" fontId="21" fillId="6" borderId="24" xfId="20" applyFont="1" applyFill="1" applyBorder="1" applyAlignment="1">
      <alignment horizontal="center" vertical="center"/>
      <protection/>
    </xf>
    <xf numFmtId="3" fontId="13" fillId="0" borderId="12" xfId="20" applyNumberFormat="1" applyFont="1" applyBorder="1" applyAlignment="1">
      <alignment horizontal="center" vertical="center"/>
      <protection/>
    </xf>
    <xf numFmtId="3" fontId="13" fillId="0" borderId="22" xfId="20" applyNumberFormat="1" applyFont="1" applyBorder="1" applyAlignment="1">
      <alignment horizontal="center" vertical="center"/>
      <protection/>
    </xf>
    <xf numFmtId="0" fontId="41" fillId="7" borderId="116" xfId="18" applyFont="1" applyFill="1" applyBorder="1" applyAlignment="1">
      <alignment horizontal="center" vertical="center" wrapText="1"/>
      <protection/>
    </xf>
    <xf numFmtId="0" fontId="41" fillId="7" borderId="10" xfId="18" applyFont="1" applyFill="1" applyBorder="1" applyAlignment="1">
      <alignment horizontal="center" vertical="center" wrapText="1"/>
      <protection/>
    </xf>
    <xf numFmtId="0" fontId="41" fillId="7" borderId="44" xfId="18" applyFont="1" applyFill="1" applyBorder="1" applyAlignment="1">
      <alignment horizontal="center" vertical="center" wrapText="1"/>
      <protection/>
    </xf>
    <xf numFmtId="0" fontId="12" fillId="0" borderId="0" xfId="18" applyAlignment="1">
      <alignment horizontal="left" wrapText="1"/>
      <protection/>
    </xf>
    <xf numFmtId="0" fontId="20" fillId="0" borderId="62" xfId="18" applyFont="1" applyBorder="1" applyAlignment="1">
      <alignment horizontal="center" vertical="center"/>
      <protection/>
    </xf>
    <xf numFmtId="0" fontId="20" fillId="0" borderId="16" xfId="18" applyFont="1" applyBorder="1" applyAlignment="1">
      <alignment horizontal="center" vertical="center"/>
      <protection/>
    </xf>
    <xf numFmtId="0" fontId="35" fillId="0" borderId="0" xfId="18" applyFont="1" applyAlignment="1">
      <alignment horizontal="center"/>
      <protection/>
    </xf>
    <xf numFmtId="0" fontId="40" fillId="0" borderId="0" xfId="18" applyFont="1" applyAlignment="1">
      <alignment horizontal="center"/>
      <protection/>
    </xf>
    <xf numFmtId="0" fontId="41" fillId="7" borderId="72" xfId="18" applyFont="1" applyFill="1" applyBorder="1" applyAlignment="1">
      <alignment horizontal="center" vertical="center" wrapText="1"/>
      <protection/>
    </xf>
    <xf numFmtId="0" fontId="41" fillId="7" borderId="73" xfId="18" applyFont="1" applyFill="1" applyBorder="1" applyAlignment="1">
      <alignment horizontal="center" vertical="center" wrapText="1"/>
      <protection/>
    </xf>
    <xf numFmtId="0" fontId="41" fillId="7" borderId="74" xfId="18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ny_Kopia zalaczniki" xfId="18"/>
    <cellStyle name="Normalny_Zarz78_Zał1_Projekt załączników2008" xfId="19"/>
    <cellStyle name="Normalny_zarz87_zal1_zalaczniki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zmiana_budz_U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3">
        <row r="21">
          <cell r="H21">
            <v>2177000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 topLeftCell="A1">
      <selection activeCell="M15" sqref="M1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59" style="0" customWidth="1"/>
    <col min="6" max="6" width="26.66015625" style="0" hidden="1" customWidth="1"/>
    <col min="7" max="7" width="15.16015625" style="0" customWidth="1"/>
    <col min="8" max="8" width="11.5" style="0" hidden="1" customWidth="1"/>
    <col min="9" max="9" width="15.16015625" style="0" hidden="1" customWidth="1"/>
    <col min="10" max="10" width="1.171875" style="0" customWidth="1"/>
  </cols>
  <sheetData>
    <row r="1" spans="2:10" ht="34.5" customHeight="1">
      <c r="B1" s="386" t="s">
        <v>292</v>
      </c>
      <c r="C1" s="387"/>
      <c r="D1" s="387"/>
      <c r="E1" s="387"/>
      <c r="F1" s="387"/>
      <c r="G1" s="387"/>
      <c r="H1" s="387"/>
      <c r="I1" s="387"/>
      <c r="J1" s="387"/>
    </row>
    <row r="2" spans="2:9" ht="16.5" customHeigh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3" t="s">
        <v>270</v>
      </c>
      <c r="H2" s="388" t="s">
        <v>6</v>
      </c>
      <c r="I2" s="388"/>
    </row>
    <row r="3" spans="2:9" ht="16.5" customHeight="1">
      <c r="B3" s="2" t="s">
        <v>7</v>
      </c>
      <c r="C3" s="2"/>
      <c r="D3" s="2"/>
      <c r="E3" s="3" t="s">
        <v>8</v>
      </c>
      <c r="F3" s="4" t="s">
        <v>502</v>
      </c>
      <c r="G3" s="4" t="s">
        <v>503</v>
      </c>
      <c r="H3" s="385" t="s">
        <v>504</v>
      </c>
      <c r="I3" s="385"/>
    </row>
    <row r="4" spans="2:9" ht="16.5" customHeight="1">
      <c r="B4" s="331"/>
      <c r="C4" s="6" t="s">
        <v>505</v>
      </c>
      <c r="D4" s="7"/>
      <c r="E4" s="8" t="s">
        <v>89</v>
      </c>
      <c r="F4" s="9" t="s">
        <v>506</v>
      </c>
      <c r="G4" s="9" t="s">
        <v>503</v>
      </c>
      <c r="H4" s="384" t="s">
        <v>507</v>
      </c>
      <c r="I4" s="384"/>
    </row>
    <row r="5" spans="2:9" ht="30" customHeight="1">
      <c r="B5" s="332"/>
      <c r="C5" s="330"/>
      <c r="D5" s="11" t="s">
        <v>508</v>
      </c>
      <c r="E5" s="12" t="s">
        <v>509</v>
      </c>
      <c r="F5" s="13" t="s">
        <v>510</v>
      </c>
      <c r="G5" s="13" t="s">
        <v>503</v>
      </c>
      <c r="H5" s="379" t="s">
        <v>511</v>
      </c>
      <c r="I5" s="379"/>
    </row>
    <row r="6" spans="2:9" ht="19.5" customHeight="1">
      <c r="B6" s="328"/>
      <c r="C6" s="329"/>
      <c r="D6" s="380" t="s">
        <v>524</v>
      </c>
      <c r="E6" s="380"/>
      <c r="F6" s="380"/>
      <c r="G6" s="381"/>
      <c r="H6" s="13"/>
      <c r="I6" s="13"/>
    </row>
    <row r="7" spans="2:9" ht="16.5" customHeight="1">
      <c r="B7" s="2" t="s">
        <v>274</v>
      </c>
      <c r="C7" s="2"/>
      <c r="D7" s="2"/>
      <c r="E7" s="3" t="s">
        <v>275</v>
      </c>
      <c r="F7" s="4" t="s">
        <v>276</v>
      </c>
      <c r="G7" s="4" t="s">
        <v>512</v>
      </c>
      <c r="H7" s="385" t="s">
        <v>513</v>
      </c>
      <c r="I7" s="385"/>
    </row>
    <row r="8" spans="2:9" ht="19.5" customHeight="1">
      <c r="B8" s="331"/>
      <c r="C8" s="6" t="s">
        <v>278</v>
      </c>
      <c r="D8" s="7"/>
      <c r="E8" s="8" t="s">
        <v>279</v>
      </c>
      <c r="F8" s="9" t="s">
        <v>280</v>
      </c>
      <c r="G8" s="9" t="s">
        <v>277</v>
      </c>
      <c r="H8" s="384" t="s">
        <v>281</v>
      </c>
      <c r="I8" s="384"/>
    </row>
    <row r="9" spans="2:9" ht="16.5" customHeight="1">
      <c r="B9" s="332"/>
      <c r="C9" s="330"/>
      <c r="D9" s="11" t="s">
        <v>282</v>
      </c>
      <c r="E9" s="12" t="s">
        <v>283</v>
      </c>
      <c r="F9" s="13" t="s">
        <v>280</v>
      </c>
      <c r="G9" s="13" t="s">
        <v>277</v>
      </c>
      <c r="H9" s="379" t="s">
        <v>281</v>
      </c>
      <c r="I9" s="379"/>
    </row>
    <row r="10" spans="2:9" ht="33" customHeight="1">
      <c r="B10" s="334"/>
      <c r="C10" s="329"/>
      <c r="D10" s="380" t="s">
        <v>523</v>
      </c>
      <c r="E10" s="380"/>
      <c r="F10" s="380"/>
      <c r="G10" s="381"/>
      <c r="H10" s="13"/>
      <c r="I10" s="13"/>
    </row>
    <row r="11" spans="2:9" ht="16.5" customHeight="1">
      <c r="B11" s="333"/>
      <c r="C11" s="6" t="s">
        <v>514</v>
      </c>
      <c r="D11" s="7"/>
      <c r="E11" s="8" t="s">
        <v>515</v>
      </c>
      <c r="F11" s="9" t="s">
        <v>19</v>
      </c>
      <c r="G11" s="9" t="s">
        <v>516</v>
      </c>
      <c r="H11" s="384" t="s">
        <v>516</v>
      </c>
      <c r="I11" s="384"/>
    </row>
    <row r="12" spans="2:9" ht="16.5" customHeight="1">
      <c r="B12" s="332"/>
      <c r="C12" s="330"/>
      <c r="D12" s="11" t="s">
        <v>517</v>
      </c>
      <c r="E12" s="12" t="s">
        <v>518</v>
      </c>
      <c r="F12" s="13" t="s">
        <v>19</v>
      </c>
      <c r="G12" s="13" t="s">
        <v>516</v>
      </c>
      <c r="H12" s="379" t="s">
        <v>516</v>
      </c>
      <c r="I12" s="379"/>
    </row>
    <row r="13" spans="2:9" ht="19.5" customHeight="1">
      <c r="B13" s="328"/>
      <c r="C13" s="329"/>
      <c r="D13" s="380" t="s">
        <v>522</v>
      </c>
      <c r="E13" s="380"/>
      <c r="F13" s="380"/>
      <c r="G13" s="381"/>
      <c r="H13" s="13"/>
      <c r="I13" s="13"/>
    </row>
    <row r="14" spans="2:9" ht="16.5" customHeight="1">
      <c r="B14" s="2" t="s">
        <v>182</v>
      </c>
      <c r="C14" s="2"/>
      <c r="D14" s="2"/>
      <c r="E14" s="3" t="s">
        <v>183</v>
      </c>
      <c r="F14" s="4" t="s">
        <v>284</v>
      </c>
      <c r="G14" s="4" t="s">
        <v>207</v>
      </c>
      <c r="H14" s="385" t="s">
        <v>285</v>
      </c>
      <c r="I14" s="385"/>
    </row>
    <row r="15" spans="2:9" ht="16.5" customHeight="1">
      <c r="B15" s="331"/>
      <c r="C15" s="29" t="s">
        <v>200</v>
      </c>
      <c r="D15" s="7"/>
      <c r="E15" s="8" t="s">
        <v>201</v>
      </c>
      <c r="F15" s="9" t="s">
        <v>286</v>
      </c>
      <c r="G15" s="9" t="s">
        <v>207</v>
      </c>
      <c r="H15" s="384" t="s">
        <v>287</v>
      </c>
      <c r="I15" s="384"/>
    </row>
    <row r="16" spans="2:9" ht="19.5" customHeight="1">
      <c r="B16" s="332"/>
      <c r="C16" s="330"/>
      <c r="D16" s="11" t="s">
        <v>288</v>
      </c>
      <c r="E16" s="12" t="s">
        <v>289</v>
      </c>
      <c r="F16" s="13" t="s">
        <v>286</v>
      </c>
      <c r="G16" s="13" t="s">
        <v>207</v>
      </c>
      <c r="H16" s="379" t="s">
        <v>287</v>
      </c>
      <c r="I16" s="379"/>
    </row>
    <row r="17" spans="2:9" ht="19.5" customHeight="1">
      <c r="B17" s="328"/>
      <c r="C17" s="329"/>
      <c r="D17" s="380" t="s">
        <v>521</v>
      </c>
      <c r="E17" s="380"/>
      <c r="F17" s="380"/>
      <c r="G17" s="381"/>
      <c r="H17" s="13"/>
      <c r="I17" s="13"/>
    </row>
    <row r="18" spans="2:9" ht="16.5" customHeight="1">
      <c r="B18" s="382" t="s">
        <v>261</v>
      </c>
      <c r="C18" s="382"/>
      <c r="D18" s="382"/>
      <c r="E18" s="382"/>
      <c r="F18" s="14" t="s">
        <v>290</v>
      </c>
      <c r="G18" s="14" t="s">
        <v>519</v>
      </c>
      <c r="H18" s="383" t="s">
        <v>520</v>
      </c>
      <c r="I18" s="383"/>
    </row>
    <row r="19" spans="1:10" ht="327" customHeight="1">
      <c r="A19" s="377"/>
      <c r="B19" s="377"/>
      <c r="C19" s="377"/>
      <c r="D19" s="377"/>
      <c r="E19" s="377"/>
      <c r="F19" s="377"/>
      <c r="G19" s="377"/>
      <c r="H19" s="377"/>
      <c r="I19" s="377"/>
      <c r="J19" s="377"/>
    </row>
    <row r="20" spans="1:10" ht="16.5" customHeight="1">
      <c r="A20" s="377"/>
      <c r="B20" s="377"/>
      <c r="C20" s="377"/>
      <c r="D20" s="377"/>
      <c r="E20" s="377"/>
      <c r="F20" s="377"/>
      <c r="G20" s="377"/>
      <c r="H20" s="377"/>
      <c r="I20" s="378" t="s">
        <v>291</v>
      </c>
      <c r="J20" s="378"/>
    </row>
  </sheetData>
  <mergeCells count="22">
    <mergeCell ref="H7:I7"/>
    <mergeCell ref="H8:I8"/>
    <mergeCell ref="H9:I9"/>
    <mergeCell ref="D6:G6"/>
    <mergeCell ref="B1:J1"/>
    <mergeCell ref="H2:I2"/>
    <mergeCell ref="H3:I3"/>
    <mergeCell ref="H4:I4"/>
    <mergeCell ref="H5:I5"/>
    <mergeCell ref="B18:E18"/>
    <mergeCell ref="H18:I18"/>
    <mergeCell ref="A19:J19"/>
    <mergeCell ref="D13:G13"/>
    <mergeCell ref="D10:G10"/>
    <mergeCell ref="H11:I11"/>
    <mergeCell ref="H12:I12"/>
    <mergeCell ref="H14:I14"/>
    <mergeCell ref="H15:I15"/>
    <mergeCell ref="A20:H20"/>
    <mergeCell ref="I20:J20"/>
    <mergeCell ref="H16:I16"/>
    <mergeCell ref="D17:G17"/>
  </mergeCells>
  <printOptions/>
  <pageMargins left="0.61" right="0.63" top="1.15" bottom="1" header="0.5" footer="0.5"/>
  <pageSetup orientation="portrait" paperSize="9" r:id="rId1"/>
  <headerFooter alignWithMargins="0">
    <oddHeader xml:space="preserve">&amp;R&amp;"Arial,Pogrubiony"&amp;9Załącznik Nr&amp;A
&amp;"Arial,Normalny"do Uchwały Rady Gminy Miłkowice Nr XLIV/243/2009
z dnia 22 grudnia 2009 roku&amp;10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showGridLines="0" workbookViewId="0" topLeftCell="A82">
      <selection activeCell="E95" sqref="E95"/>
    </sheetView>
  </sheetViews>
  <sheetFormatPr defaultColWidth="9.33203125" defaultRowHeight="12.75"/>
  <cols>
    <col min="1" max="1" width="2.5" style="0" customWidth="1"/>
    <col min="2" max="2" width="7.16015625" style="0" customWidth="1"/>
    <col min="3" max="3" width="10" style="0" customWidth="1"/>
    <col min="4" max="4" width="12.66015625" style="0" hidden="1" customWidth="1"/>
    <col min="5" max="5" width="63.66015625" style="0" customWidth="1"/>
    <col min="6" max="6" width="26.66015625" style="0" hidden="1" customWidth="1"/>
    <col min="7" max="7" width="15.33203125" style="27" customWidth="1"/>
    <col min="8" max="8" width="14.83203125" style="27" customWidth="1"/>
    <col min="9" max="9" width="11.5" style="0" hidden="1" customWidth="1"/>
    <col min="10" max="10" width="4.66015625" style="0" hidden="1" customWidth="1"/>
    <col min="11" max="11" width="1.171875" style="0" customWidth="1"/>
    <col min="12" max="12" width="12.5" style="0" bestFit="1" customWidth="1"/>
  </cols>
  <sheetData>
    <row r="1" spans="1:11" ht="17.25" customHeight="1">
      <c r="A1" s="15"/>
      <c r="B1" s="15"/>
      <c r="C1" s="15"/>
      <c r="D1" s="15"/>
      <c r="E1" s="15"/>
      <c r="F1" s="15"/>
      <c r="G1" s="21"/>
      <c r="H1" s="21"/>
      <c r="I1" s="15"/>
      <c r="J1" s="15"/>
      <c r="K1" s="15"/>
    </row>
    <row r="2" spans="2:11" ht="18" customHeight="1">
      <c r="B2" s="386" t="s">
        <v>0</v>
      </c>
      <c r="C2" s="387"/>
      <c r="D2" s="387"/>
      <c r="E2" s="387"/>
      <c r="F2" s="387"/>
      <c r="G2" s="387"/>
      <c r="H2" s="387"/>
      <c r="I2" s="387"/>
      <c r="J2" s="387"/>
      <c r="K2" s="387"/>
    </row>
    <row r="3" spans="2:12" ht="16.5" customHeight="1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8" t="s">
        <v>270</v>
      </c>
      <c r="H3" s="28" t="s">
        <v>269</v>
      </c>
      <c r="I3" s="388" t="s">
        <v>6</v>
      </c>
      <c r="J3" s="388"/>
      <c r="L3" s="27">
        <f>G4+H4</f>
        <v>-149240.39</v>
      </c>
    </row>
    <row r="4" spans="2:10" ht="16.5" customHeight="1">
      <c r="B4" s="2" t="s">
        <v>7</v>
      </c>
      <c r="C4" s="2"/>
      <c r="D4" s="2"/>
      <c r="E4" s="3" t="s">
        <v>8</v>
      </c>
      <c r="F4" s="4" t="s">
        <v>9</v>
      </c>
      <c r="G4" s="22" t="str">
        <f>G14</f>
        <v>51 224,61</v>
      </c>
      <c r="H4" s="22">
        <f>H5+H11</f>
        <v>-200465</v>
      </c>
      <c r="I4" s="385" t="s">
        <v>10</v>
      </c>
      <c r="J4" s="385"/>
    </row>
    <row r="5" spans="2:10" ht="16.5" customHeight="1">
      <c r="B5" s="5"/>
      <c r="C5" s="6" t="s">
        <v>11</v>
      </c>
      <c r="D5" s="7"/>
      <c r="E5" s="8" t="s">
        <v>12</v>
      </c>
      <c r="F5" s="9" t="s">
        <v>13</v>
      </c>
      <c r="G5" s="23"/>
      <c r="H5" s="23">
        <f>H6+H7</f>
        <v>-465</v>
      </c>
      <c r="I5" s="384" t="s">
        <v>14</v>
      </c>
      <c r="J5" s="384"/>
    </row>
    <row r="6" spans="2:10" ht="16.5" customHeight="1">
      <c r="B6" s="5"/>
      <c r="C6" s="17"/>
      <c r="D6" s="18"/>
      <c r="E6" s="19" t="s">
        <v>264</v>
      </c>
      <c r="F6" s="16"/>
      <c r="G6" s="24"/>
      <c r="H6" s="24" t="str">
        <f>H9</f>
        <v>- 15,00</v>
      </c>
      <c r="I6" s="16"/>
      <c r="J6" s="16"/>
    </row>
    <row r="7" spans="2:10" ht="16.5" customHeight="1">
      <c r="B7" s="5"/>
      <c r="C7" s="20"/>
      <c r="D7" s="18"/>
      <c r="E7" s="19" t="s">
        <v>265</v>
      </c>
      <c r="F7" s="16"/>
      <c r="G7" s="24"/>
      <c r="H7" s="24">
        <f>H8+H10</f>
        <v>-450</v>
      </c>
      <c r="I7" s="16"/>
      <c r="J7" s="16"/>
    </row>
    <row r="8" spans="2:10" ht="16.5" customHeight="1" hidden="1">
      <c r="B8" s="10"/>
      <c r="C8" s="10"/>
      <c r="D8" s="11" t="s">
        <v>15</v>
      </c>
      <c r="E8" s="12" t="s">
        <v>16</v>
      </c>
      <c r="F8" s="13" t="s">
        <v>17</v>
      </c>
      <c r="G8" s="25"/>
      <c r="H8" s="25" t="s">
        <v>18</v>
      </c>
      <c r="I8" s="379" t="s">
        <v>19</v>
      </c>
      <c r="J8" s="379"/>
    </row>
    <row r="9" spans="2:10" ht="16.5" customHeight="1" hidden="1">
      <c r="B9" s="10"/>
      <c r="C9" s="10"/>
      <c r="D9" s="11" t="s">
        <v>20</v>
      </c>
      <c r="E9" s="12" t="s">
        <v>21</v>
      </c>
      <c r="F9" s="13" t="s">
        <v>22</v>
      </c>
      <c r="G9" s="25"/>
      <c r="H9" s="25" t="s">
        <v>23</v>
      </c>
      <c r="I9" s="379" t="s">
        <v>24</v>
      </c>
      <c r="J9" s="379"/>
    </row>
    <row r="10" spans="2:10" ht="16.5" customHeight="1" hidden="1">
      <c r="B10" s="10"/>
      <c r="C10" s="10"/>
      <c r="D10" s="11" t="s">
        <v>25</v>
      </c>
      <c r="E10" s="12" t="s">
        <v>26</v>
      </c>
      <c r="F10" s="13" t="s">
        <v>27</v>
      </c>
      <c r="G10" s="25"/>
      <c r="H10" s="25">
        <v>-100</v>
      </c>
      <c r="I10" s="379" t="s">
        <v>28</v>
      </c>
      <c r="J10" s="379"/>
    </row>
    <row r="11" spans="2:10" ht="16.5" customHeight="1">
      <c r="B11" s="5"/>
      <c r="C11" s="6" t="s">
        <v>29</v>
      </c>
      <c r="D11" s="7"/>
      <c r="E11" s="8" t="s">
        <v>30</v>
      </c>
      <c r="F11" s="9" t="s">
        <v>31</v>
      </c>
      <c r="G11" s="23"/>
      <c r="H11" s="23" t="s">
        <v>32</v>
      </c>
      <c r="I11" s="384" t="s">
        <v>33</v>
      </c>
      <c r="J11" s="384"/>
    </row>
    <row r="12" spans="2:10" ht="26.25" customHeight="1">
      <c r="B12" s="5"/>
      <c r="C12" s="17"/>
      <c r="D12" s="18"/>
      <c r="E12" s="19" t="s">
        <v>266</v>
      </c>
      <c r="F12" s="16"/>
      <c r="G12" s="24"/>
      <c r="H12" s="24" t="str">
        <f>H13</f>
        <v>- 200 000,00</v>
      </c>
      <c r="I12" s="16"/>
      <c r="J12" s="16"/>
    </row>
    <row r="13" spans="2:10" ht="16.5" customHeight="1">
      <c r="B13" s="10"/>
      <c r="C13" s="10"/>
      <c r="D13" s="11" t="s">
        <v>34</v>
      </c>
      <c r="E13" s="12" t="s">
        <v>35</v>
      </c>
      <c r="F13" s="13" t="s">
        <v>36</v>
      </c>
      <c r="G13" s="25"/>
      <c r="H13" s="25" t="s">
        <v>32</v>
      </c>
      <c r="I13" s="379" t="s">
        <v>37</v>
      </c>
      <c r="J13" s="379"/>
    </row>
    <row r="14" spans="2:9" ht="16.5" customHeight="1">
      <c r="B14" s="5"/>
      <c r="C14" s="6" t="s">
        <v>505</v>
      </c>
      <c r="D14" s="7"/>
      <c r="E14" s="8" t="s">
        <v>89</v>
      </c>
      <c r="F14" s="9" t="s">
        <v>510</v>
      </c>
      <c r="G14" s="9" t="s">
        <v>503</v>
      </c>
      <c r="H14" s="336"/>
      <c r="I14" s="335"/>
    </row>
    <row r="15" spans="2:10" ht="16.5" customHeight="1">
      <c r="B15" s="5"/>
      <c r="C15" s="17"/>
      <c r="D15" s="18"/>
      <c r="E15" s="19" t="s">
        <v>264</v>
      </c>
      <c r="F15" s="16"/>
      <c r="G15" s="24">
        <f>G18+G19+G20</f>
        <v>2008.79</v>
      </c>
      <c r="H15" s="24"/>
      <c r="I15" s="16"/>
      <c r="J15" s="16"/>
    </row>
    <row r="16" spans="2:10" ht="16.5" customHeight="1">
      <c r="B16" s="5"/>
      <c r="C16" s="20"/>
      <c r="D16" s="18"/>
      <c r="E16" s="19" t="s">
        <v>265</v>
      </c>
      <c r="F16" s="16"/>
      <c r="G16" s="24" t="str">
        <f>G21</f>
        <v>49 215,82</v>
      </c>
      <c r="H16" s="24"/>
      <c r="I16" s="16"/>
      <c r="J16" s="16"/>
    </row>
    <row r="17" spans="2:10" ht="26.25" customHeight="1">
      <c r="B17" s="5"/>
      <c r="C17" s="17"/>
      <c r="D17" s="18"/>
      <c r="E17" s="389" t="s">
        <v>524</v>
      </c>
      <c r="F17" s="389"/>
      <c r="G17" s="389"/>
      <c r="H17" s="390"/>
      <c r="I17" s="16"/>
      <c r="J17" s="16"/>
    </row>
    <row r="18" spans="2:9" ht="16.5" customHeight="1" hidden="1">
      <c r="B18" s="10"/>
      <c r="C18" s="10"/>
      <c r="D18" s="11" t="s">
        <v>204</v>
      </c>
      <c r="E18" s="12" t="s">
        <v>205</v>
      </c>
      <c r="F18" s="13" t="s">
        <v>525</v>
      </c>
      <c r="G18" s="13" t="s">
        <v>526</v>
      </c>
      <c r="H18" s="337"/>
      <c r="I18" s="32"/>
    </row>
    <row r="19" spans="2:9" ht="16.5" customHeight="1" hidden="1">
      <c r="B19" s="10"/>
      <c r="C19" s="10"/>
      <c r="D19" s="11" t="s">
        <v>114</v>
      </c>
      <c r="E19" s="12" t="s">
        <v>115</v>
      </c>
      <c r="F19" s="13" t="s">
        <v>527</v>
      </c>
      <c r="G19" s="13" t="s">
        <v>528</v>
      </c>
      <c r="H19" s="337"/>
      <c r="I19" s="32"/>
    </row>
    <row r="20" spans="2:9" ht="16.5" customHeight="1" hidden="1">
      <c r="B20" s="10"/>
      <c r="C20" s="10"/>
      <c r="D20" s="11" t="s">
        <v>119</v>
      </c>
      <c r="E20" s="12" t="s">
        <v>120</v>
      </c>
      <c r="F20" s="13" t="s">
        <v>529</v>
      </c>
      <c r="G20" s="13" t="s">
        <v>530</v>
      </c>
      <c r="H20" s="337"/>
      <c r="I20" s="32"/>
    </row>
    <row r="21" spans="2:9" ht="16.5" customHeight="1" hidden="1">
      <c r="B21" s="10"/>
      <c r="C21" s="10"/>
      <c r="D21" s="11" t="s">
        <v>531</v>
      </c>
      <c r="E21" s="12" t="s">
        <v>532</v>
      </c>
      <c r="F21" s="13" t="s">
        <v>533</v>
      </c>
      <c r="G21" s="13" t="s">
        <v>534</v>
      </c>
      <c r="H21" s="337"/>
      <c r="I21" s="32"/>
    </row>
    <row r="22" spans="2:12" ht="16.5" customHeight="1">
      <c r="B22" s="2" t="s">
        <v>38</v>
      </c>
      <c r="C22" s="2"/>
      <c r="D22" s="2"/>
      <c r="E22" s="3" t="s">
        <v>39</v>
      </c>
      <c r="F22" s="4" t="s">
        <v>40</v>
      </c>
      <c r="G22" s="22" t="str">
        <f>G23</f>
        <v>40 800,00</v>
      </c>
      <c r="H22" s="22" t="str">
        <f>H23</f>
        <v>- 20 000,00</v>
      </c>
      <c r="I22" s="385" t="s">
        <v>41</v>
      </c>
      <c r="J22" s="385"/>
      <c r="L22" s="27">
        <f>G23+H23</f>
        <v>20800</v>
      </c>
    </row>
    <row r="23" spans="2:10" ht="16.5" customHeight="1">
      <c r="B23" s="5"/>
      <c r="C23" s="6" t="s">
        <v>42</v>
      </c>
      <c r="D23" s="7"/>
      <c r="E23" s="8" t="s">
        <v>43</v>
      </c>
      <c r="F23" s="9" t="s">
        <v>40</v>
      </c>
      <c r="G23" s="23" t="str">
        <f>G24</f>
        <v>40 800,00</v>
      </c>
      <c r="H23" s="23" t="str">
        <f>H26</f>
        <v>- 20 000,00</v>
      </c>
      <c r="I23" s="384" t="s">
        <v>41</v>
      </c>
      <c r="J23" s="384"/>
    </row>
    <row r="24" spans="2:10" ht="22.5">
      <c r="B24" s="5"/>
      <c r="C24" s="17"/>
      <c r="D24" s="18"/>
      <c r="E24" s="19" t="s">
        <v>267</v>
      </c>
      <c r="F24" s="16"/>
      <c r="G24" s="24" t="str">
        <f>G25</f>
        <v>40 800,00</v>
      </c>
      <c r="H24" s="24"/>
      <c r="I24" s="16"/>
      <c r="J24" s="16"/>
    </row>
    <row r="25" spans="2:10" ht="16.5" customHeight="1" hidden="1">
      <c r="B25" s="10"/>
      <c r="C25" s="10"/>
      <c r="D25" s="11" t="s">
        <v>44</v>
      </c>
      <c r="E25" s="12" t="s">
        <v>45</v>
      </c>
      <c r="F25" s="13" t="s">
        <v>46</v>
      </c>
      <c r="G25" s="25" t="s">
        <v>47</v>
      </c>
      <c r="H25" s="25" t="s">
        <v>47</v>
      </c>
      <c r="I25" s="379" t="s">
        <v>48</v>
      </c>
      <c r="J25" s="379"/>
    </row>
    <row r="26" spans="2:10" ht="16.5" customHeight="1">
      <c r="B26" s="5"/>
      <c r="C26" s="20"/>
      <c r="D26" s="18"/>
      <c r="E26" s="19" t="s">
        <v>268</v>
      </c>
      <c r="F26" s="16"/>
      <c r="G26" s="24"/>
      <c r="H26" s="24" t="str">
        <f>H27</f>
        <v>- 20 000,00</v>
      </c>
      <c r="I26" s="16"/>
      <c r="J26" s="16"/>
    </row>
    <row r="27" spans="2:10" ht="16.5" customHeight="1" hidden="1">
      <c r="B27" s="10"/>
      <c r="C27" s="10"/>
      <c r="D27" s="11" t="s">
        <v>49</v>
      </c>
      <c r="E27" s="12" t="s">
        <v>50</v>
      </c>
      <c r="F27" s="13" t="s">
        <v>51</v>
      </c>
      <c r="G27" s="25" t="s">
        <v>52</v>
      </c>
      <c r="H27" s="25" t="s">
        <v>52</v>
      </c>
      <c r="I27" s="379" t="s">
        <v>53</v>
      </c>
      <c r="J27" s="379"/>
    </row>
    <row r="28" spans="2:12" ht="16.5" customHeight="1">
      <c r="B28" s="2" t="s">
        <v>54</v>
      </c>
      <c r="C28" s="2"/>
      <c r="D28" s="2"/>
      <c r="E28" s="3" t="s">
        <v>55</v>
      </c>
      <c r="F28" s="4" t="s">
        <v>56</v>
      </c>
      <c r="G28" s="22" t="str">
        <f>G32</f>
        <v>519,00</v>
      </c>
      <c r="H28" s="22">
        <f>H29+H32</f>
        <v>-17200</v>
      </c>
      <c r="I28" s="385" t="s">
        <v>57</v>
      </c>
      <c r="J28" s="385"/>
      <c r="L28" s="27">
        <f>G28+H28</f>
        <v>-16681</v>
      </c>
    </row>
    <row r="29" spans="2:10" ht="16.5" customHeight="1">
      <c r="B29" s="5"/>
      <c r="C29" s="6" t="s">
        <v>58</v>
      </c>
      <c r="D29" s="7"/>
      <c r="E29" s="8" t="s">
        <v>59</v>
      </c>
      <c r="F29" s="9" t="s">
        <v>60</v>
      </c>
      <c r="G29" s="23"/>
      <c r="H29" s="23" t="s">
        <v>61</v>
      </c>
      <c r="I29" s="384" t="s">
        <v>62</v>
      </c>
      <c r="J29" s="384"/>
    </row>
    <row r="30" spans="2:10" ht="16.5" customHeight="1">
      <c r="B30" s="5"/>
      <c r="C30" s="20"/>
      <c r="D30" s="18"/>
      <c r="E30" s="19" t="s">
        <v>265</v>
      </c>
      <c r="F30" s="16"/>
      <c r="G30" s="24"/>
      <c r="H30" s="24" t="str">
        <f>H31</f>
        <v>- 5 000,00</v>
      </c>
      <c r="I30" s="16"/>
      <c r="J30" s="16"/>
    </row>
    <row r="31" spans="2:10" ht="16.5" customHeight="1" hidden="1">
      <c r="B31" s="10"/>
      <c r="C31" s="10"/>
      <c r="D31" s="11" t="s">
        <v>63</v>
      </c>
      <c r="E31" s="12" t="s">
        <v>64</v>
      </c>
      <c r="F31" s="13" t="s">
        <v>65</v>
      </c>
      <c r="G31" s="25" t="s">
        <v>61</v>
      </c>
      <c r="H31" s="25" t="s">
        <v>61</v>
      </c>
      <c r="I31" s="379" t="s">
        <v>19</v>
      </c>
      <c r="J31" s="379"/>
    </row>
    <row r="32" spans="2:10" ht="16.5" customHeight="1">
      <c r="B32" s="5"/>
      <c r="C32" s="6" t="s">
        <v>66</v>
      </c>
      <c r="D32" s="7"/>
      <c r="E32" s="8" t="s">
        <v>67</v>
      </c>
      <c r="F32" s="9" t="s">
        <v>68</v>
      </c>
      <c r="G32" s="23" t="s">
        <v>69</v>
      </c>
      <c r="H32" s="23">
        <f>H35</f>
        <v>-12200</v>
      </c>
      <c r="I32" s="384" t="s">
        <v>70</v>
      </c>
      <c r="J32" s="384"/>
    </row>
    <row r="33" spans="2:10" ht="16.5" customHeight="1">
      <c r="B33" s="5"/>
      <c r="C33" s="17"/>
      <c r="D33" s="18"/>
      <c r="E33" s="19" t="s">
        <v>264</v>
      </c>
      <c r="F33" s="16"/>
      <c r="G33" s="24" t="str">
        <f>G34</f>
        <v>519,00</v>
      </c>
      <c r="H33" s="24"/>
      <c r="I33" s="16"/>
      <c r="J33" s="16"/>
    </row>
    <row r="34" spans="2:10" ht="16.5" customHeight="1" hidden="1">
      <c r="B34" s="10"/>
      <c r="C34" s="10"/>
      <c r="D34" s="11" t="s">
        <v>71</v>
      </c>
      <c r="E34" s="12" t="s">
        <v>72</v>
      </c>
      <c r="F34" s="13" t="s">
        <v>73</v>
      </c>
      <c r="G34" s="25" t="s">
        <v>69</v>
      </c>
      <c r="H34" s="25" t="s">
        <v>69</v>
      </c>
      <c r="I34" s="379" t="s">
        <v>74</v>
      </c>
      <c r="J34" s="379"/>
    </row>
    <row r="35" spans="2:10" ht="16.5" customHeight="1">
      <c r="B35" s="5"/>
      <c r="C35" s="20"/>
      <c r="D35" s="18"/>
      <c r="E35" s="19" t="s">
        <v>265</v>
      </c>
      <c r="F35" s="16"/>
      <c r="G35" s="24"/>
      <c r="H35" s="24">
        <v>-12200</v>
      </c>
      <c r="I35" s="16"/>
      <c r="J35" s="16"/>
    </row>
    <row r="36" spans="2:10" ht="16.5" customHeight="1">
      <c r="B36" s="2" t="s">
        <v>75</v>
      </c>
      <c r="C36" s="2"/>
      <c r="D36" s="2"/>
      <c r="E36" s="3" t="s">
        <v>76</v>
      </c>
      <c r="F36" s="4" t="s">
        <v>77</v>
      </c>
      <c r="G36" s="22">
        <f>G37+G40</f>
        <v>18704</v>
      </c>
      <c r="H36" s="22"/>
      <c r="I36" s="385" t="s">
        <v>78</v>
      </c>
      <c r="J36" s="385"/>
    </row>
    <row r="37" spans="2:10" ht="16.5" customHeight="1">
      <c r="B37" s="5"/>
      <c r="C37" s="6" t="s">
        <v>79</v>
      </c>
      <c r="D37" s="7"/>
      <c r="E37" s="8" t="s">
        <v>80</v>
      </c>
      <c r="F37" s="9" t="s">
        <v>81</v>
      </c>
      <c r="G37" s="23" t="s">
        <v>82</v>
      </c>
      <c r="H37" s="23"/>
      <c r="I37" s="384" t="s">
        <v>83</v>
      </c>
      <c r="J37" s="384"/>
    </row>
    <row r="38" spans="2:10" ht="16.5" customHeight="1">
      <c r="B38" s="5"/>
      <c r="C38" s="20"/>
      <c r="D38" s="18"/>
      <c r="E38" s="19" t="s">
        <v>265</v>
      </c>
      <c r="F38" s="16"/>
      <c r="G38" s="24" t="str">
        <f>G39</f>
        <v>18 587,00</v>
      </c>
      <c r="H38" s="24"/>
      <c r="I38" s="16"/>
      <c r="J38" s="16"/>
    </row>
    <row r="39" spans="2:10" ht="16.5" customHeight="1" hidden="1">
      <c r="B39" s="10"/>
      <c r="C39" s="10"/>
      <c r="D39" s="11" t="s">
        <v>84</v>
      </c>
      <c r="E39" s="12" t="s">
        <v>85</v>
      </c>
      <c r="F39" s="13" t="s">
        <v>86</v>
      </c>
      <c r="G39" s="25" t="s">
        <v>82</v>
      </c>
      <c r="H39" s="25"/>
      <c r="I39" s="379" t="s">
        <v>87</v>
      </c>
      <c r="J39" s="379"/>
    </row>
    <row r="40" spans="2:10" ht="16.5" customHeight="1">
      <c r="B40" s="5"/>
      <c r="C40" s="6" t="s">
        <v>88</v>
      </c>
      <c r="D40" s="7"/>
      <c r="E40" s="8" t="s">
        <v>89</v>
      </c>
      <c r="F40" s="9" t="s">
        <v>90</v>
      </c>
      <c r="G40" s="23">
        <f>G41</f>
        <v>117</v>
      </c>
      <c r="H40" s="23"/>
      <c r="I40" s="384" t="s">
        <v>92</v>
      </c>
      <c r="J40" s="384"/>
    </row>
    <row r="41" spans="2:10" ht="16.5" customHeight="1">
      <c r="B41" s="5"/>
      <c r="C41" s="20"/>
      <c r="D41" s="18"/>
      <c r="E41" s="19" t="s">
        <v>265</v>
      </c>
      <c r="F41" s="16"/>
      <c r="G41" s="24">
        <f>G43+G42</f>
        <v>117</v>
      </c>
      <c r="H41" s="24"/>
      <c r="I41" s="16"/>
      <c r="J41" s="16"/>
    </row>
    <row r="42" spans="2:9" ht="16.5" customHeight="1" hidden="1">
      <c r="B42" s="10"/>
      <c r="C42" s="10"/>
      <c r="D42" s="11" t="s">
        <v>49</v>
      </c>
      <c r="E42" s="12" t="s">
        <v>50</v>
      </c>
      <c r="F42" s="13" t="s">
        <v>535</v>
      </c>
      <c r="G42" s="13" t="s">
        <v>536</v>
      </c>
      <c r="H42" s="337"/>
      <c r="I42" s="32"/>
    </row>
    <row r="43" spans="2:10" ht="16.5" customHeight="1" hidden="1">
      <c r="B43" s="10"/>
      <c r="C43" s="10"/>
      <c r="D43" s="11" t="s">
        <v>25</v>
      </c>
      <c r="E43" s="12" t="s">
        <v>26</v>
      </c>
      <c r="F43" s="13" t="s">
        <v>93</v>
      </c>
      <c r="G43" s="25" t="s">
        <v>91</v>
      </c>
      <c r="H43" s="25"/>
      <c r="I43" s="379"/>
      <c r="J43" s="379"/>
    </row>
    <row r="44" spans="2:12" ht="16.5" customHeight="1">
      <c r="B44" s="2" t="s">
        <v>94</v>
      </c>
      <c r="C44" s="2"/>
      <c r="D44" s="2"/>
      <c r="E44" s="3" t="s">
        <v>95</v>
      </c>
      <c r="F44" s="4" t="s">
        <v>96</v>
      </c>
      <c r="G44" s="22">
        <f>G48+G60+G64</f>
        <v>4560</v>
      </c>
      <c r="H44" s="22">
        <f>H45+H48+H60+H64</f>
        <v>-29033</v>
      </c>
      <c r="I44" s="385" t="s">
        <v>97</v>
      </c>
      <c r="J44" s="385"/>
      <c r="L44" s="27">
        <f>G44+H44</f>
        <v>-24473</v>
      </c>
    </row>
    <row r="45" spans="2:10" ht="16.5" customHeight="1">
      <c r="B45" s="5"/>
      <c r="C45" s="6" t="s">
        <v>98</v>
      </c>
      <c r="D45" s="7"/>
      <c r="E45" s="8" t="s">
        <v>99</v>
      </c>
      <c r="F45" s="9" t="s">
        <v>100</v>
      </c>
      <c r="G45" s="23"/>
      <c r="H45" s="23">
        <f>H46</f>
        <v>-2950</v>
      </c>
      <c r="I45" s="384" t="s">
        <v>102</v>
      </c>
      <c r="J45" s="384"/>
    </row>
    <row r="46" spans="2:10" ht="16.5" customHeight="1">
      <c r="B46" s="5"/>
      <c r="C46" s="20"/>
      <c r="D46" s="18"/>
      <c r="E46" s="19" t="s">
        <v>265</v>
      </c>
      <c r="F46" s="16"/>
      <c r="G46" s="24"/>
      <c r="H46" s="24">
        <v>-2950</v>
      </c>
      <c r="I46" s="16"/>
      <c r="J46" s="16"/>
    </row>
    <row r="47" spans="2:10" ht="16.5" customHeight="1" hidden="1">
      <c r="B47" s="10"/>
      <c r="C47" s="10"/>
      <c r="D47" s="11" t="s">
        <v>103</v>
      </c>
      <c r="E47" s="12" t="s">
        <v>104</v>
      </c>
      <c r="F47" s="13" t="s">
        <v>105</v>
      </c>
      <c r="G47" s="25" t="s">
        <v>101</v>
      </c>
      <c r="H47" s="25" t="s">
        <v>101</v>
      </c>
      <c r="I47" s="379" t="s">
        <v>106</v>
      </c>
      <c r="J47" s="379"/>
    </row>
    <row r="48" spans="2:12" ht="16.5" customHeight="1">
      <c r="B48" s="5"/>
      <c r="C48" s="6" t="s">
        <v>107</v>
      </c>
      <c r="D48" s="7"/>
      <c r="E48" s="8" t="s">
        <v>108</v>
      </c>
      <c r="F48" s="9" t="s">
        <v>109</v>
      </c>
      <c r="G48" s="23">
        <f>G54</f>
        <v>3160</v>
      </c>
      <c r="H48" s="23">
        <f>H49+H54</f>
        <v>-21333</v>
      </c>
      <c r="I48" s="384" t="s">
        <v>110</v>
      </c>
      <c r="J48" s="384"/>
      <c r="L48" s="27">
        <f>G48+H48</f>
        <v>-18173</v>
      </c>
    </row>
    <row r="49" spans="2:10" ht="16.5" customHeight="1">
      <c r="B49" s="5"/>
      <c r="C49" s="17"/>
      <c r="D49" s="18"/>
      <c r="E49" s="19" t="s">
        <v>264</v>
      </c>
      <c r="F49" s="16"/>
      <c r="G49" s="24"/>
      <c r="H49" s="24">
        <f>H51+H52+H53+H50</f>
        <v>-15533</v>
      </c>
      <c r="I49" s="16"/>
      <c r="J49" s="16"/>
    </row>
    <row r="50" spans="2:10" ht="16.5" customHeight="1" hidden="1">
      <c r="B50" s="5"/>
      <c r="C50" s="20"/>
      <c r="D50" s="18"/>
      <c r="E50" s="19"/>
      <c r="F50" s="16"/>
      <c r="G50" s="24"/>
      <c r="H50" s="24">
        <v>-2000</v>
      </c>
      <c r="I50" s="16"/>
      <c r="J50" s="16"/>
    </row>
    <row r="51" spans="2:10" ht="16.5" customHeight="1" hidden="1">
      <c r="B51" s="10"/>
      <c r="C51" s="10"/>
      <c r="D51" s="11" t="s">
        <v>20</v>
      </c>
      <c r="E51" s="12" t="s">
        <v>21</v>
      </c>
      <c r="F51" s="13" t="s">
        <v>111</v>
      </c>
      <c r="G51" s="25"/>
      <c r="H51" s="25" t="s">
        <v>112</v>
      </c>
      <c r="I51" s="379" t="s">
        <v>113</v>
      </c>
      <c r="J51" s="379"/>
    </row>
    <row r="52" spans="2:10" ht="16.5" customHeight="1" hidden="1">
      <c r="B52" s="10"/>
      <c r="C52" s="10"/>
      <c r="D52" s="11" t="s">
        <v>114</v>
      </c>
      <c r="E52" s="12" t="s">
        <v>115</v>
      </c>
      <c r="F52" s="13" t="s">
        <v>116</v>
      </c>
      <c r="G52" s="25"/>
      <c r="H52" s="25" t="s">
        <v>117</v>
      </c>
      <c r="I52" s="379" t="s">
        <v>118</v>
      </c>
      <c r="J52" s="379"/>
    </row>
    <row r="53" spans="2:10" ht="16.5" customHeight="1" hidden="1">
      <c r="B53" s="10"/>
      <c r="C53" s="10"/>
      <c r="D53" s="11" t="s">
        <v>119</v>
      </c>
      <c r="E53" s="12" t="s">
        <v>120</v>
      </c>
      <c r="F53" s="13" t="s">
        <v>121</v>
      </c>
      <c r="G53" s="25"/>
      <c r="H53" s="25" t="s">
        <v>122</v>
      </c>
      <c r="I53" s="379" t="s">
        <v>123</v>
      </c>
      <c r="J53" s="379"/>
    </row>
    <row r="54" spans="2:10" ht="16.5" customHeight="1">
      <c r="B54" s="5"/>
      <c r="C54" s="20"/>
      <c r="D54" s="18"/>
      <c r="E54" s="19" t="s">
        <v>265</v>
      </c>
      <c r="F54" s="16"/>
      <c r="G54" s="24">
        <f>G59+G55</f>
        <v>3160</v>
      </c>
      <c r="H54" s="24">
        <f>H56+H57+H58+H59</f>
        <v>-5800</v>
      </c>
      <c r="I54" s="16"/>
      <c r="J54" s="16"/>
    </row>
    <row r="55" spans="2:9" ht="16.5" customHeight="1" hidden="1">
      <c r="B55" s="10"/>
      <c r="C55" s="10"/>
      <c r="D55" s="11" t="s">
        <v>212</v>
      </c>
      <c r="E55" s="12" t="s">
        <v>213</v>
      </c>
      <c r="F55" s="13" t="s">
        <v>537</v>
      </c>
      <c r="G55" s="13" t="s">
        <v>538</v>
      </c>
      <c r="H55" s="337"/>
      <c r="I55" s="32"/>
    </row>
    <row r="56" spans="2:10" ht="16.5" customHeight="1" hidden="1">
      <c r="B56" s="10"/>
      <c r="C56" s="10"/>
      <c r="D56" s="11" t="s">
        <v>25</v>
      </c>
      <c r="E56" s="12" t="s">
        <v>26</v>
      </c>
      <c r="F56" s="13" t="s">
        <v>124</v>
      </c>
      <c r="G56" s="25"/>
      <c r="H56" s="25">
        <v>-5000</v>
      </c>
      <c r="I56" s="379" t="s">
        <v>125</v>
      </c>
      <c r="J56" s="379"/>
    </row>
    <row r="57" spans="2:10" ht="16.5" customHeight="1" hidden="1">
      <c r="B57" s="10"/>
      <c r="C57" s="10"/>
      <c r="D57" s="11" t="s">
        <v>126</v>
      </c>
      <c r="E57" s="12" t="s">
        <v>127</v>
      </c>
      <c r="F57" s="13" t="s">
        <v>128</v>
      </c>
      <c r="G57" s="25"/>
      <c r="H57" s="25" t="s">
        <v>129</v>
      </c>
      <c r="I57" s="379" t="s">
        <v>19</v>
      </c>
      <c r="J57" s="379"/>
    </row>
    <row r="58" spans="2:10" ht="16.5" customHeight="1" hidden="1">
      <c r="B58" s="10"/>
      <c r="C58" s="10"/>
      <c r="D58" s="11" t="s">
        <v>130</v>
      </c>
      <c r="E58" s="12" t="s">
        <v>131</v>
      </c>
      <c r="F58" s="13" t="s">
        <v>132</v>
      </c>
      <c r="G58" s="25"/>
      <c r="H58" s="25" t="s">
        <v>133</v>
      </c>
      <c r="I58" s="379" t="s">
        <v>19</v>
      </c>
      <c r="J58" s="379"/>
    </row>
    <row r="59" spans="2:10" ht="16.5" customHeight="1" hidden="1">
      <c r="B59" s="10"/>
      <c r="C59" s="10"/>
      <c r="D59" s="11" t="s">
        <v>134</v>
      </c>
      <c r="E59" s="12" t="s">
        <v>135</v>
      </c>
      <c r="F59" s="13" t="s">
        <v>136</v>
      </c>
      <c r="G59" s="25">
        <v>3000</v>
      </c>
      <c r="H59" s="25"/>
      <c r="I59" s="379" t="s">
        <v>138</v>
      </c>
      <c r="J59" s="379"/>
    </row>
    <row r="60" spans="2:10" ht="16.5" customHeight="1">
      <c r="B60" s="5"/>
      <c r="C60" s="6" t="s">
        <v>139</v>
      </c>
      <c r="D60" s="7"/>
      <c r="E60" s="8" t="s">
        <v>140</v>
      </c>
      <c r="F60" s="9" t="s">
        <v>141</v>
      </c>
      <c r="G60" s="23" t="str">
        <f>G63</f>
        <v>1 400,00</v>
      </c>
      <c r="H60" s="23" t="str">
        <f>H62</f>
        <v>- 1 400,00</v>
      </c>
      <c r="I60" s="384" t="s">
        <v>141</v>
      </c>
      <c r="J60" s="384"/>
    </row>
    <row r="61" spans="2:10" ht="16.5" customHeight="1">
      <c r="B61" s="5"/>
      <c r="C61" s="20"/>
      <c r="D61" s="18"/>
      <c r="E61" s="19" t="s">
        <v>265</v>
      </c>
      <c r="F61" s="16"/>
      <c r="G61" s="24" t="str">
        <f>G63</f>
        <v>1 400,00</v>
      </c>
      <c r="H61" s="24" t="str">
        <f>H62</f>
        <v>- 1 400,00</v>
      </c>
      <c r="I61" s="16"/>
      <c r="J61" s="16"/>
    </row>
    <row r="62" spans="2:10" ht="16.5" customHeight="1" hidden="1">
      <c r="B62" s="10"/>
      <c r="C62" s="10"/>
      <c r="D62" s="11" t="s">
        <v>142</v>
      </c>
      <c r="E62" s="12" t="s">
        <v>143</v>
      </c>
      <c r="F62" s="13" t="s">
        <v>144</v>
      </c>
      <c r="G62" s="25"/>
      <c r="H62" s="25" t="s">
        <v>145</v>
      </c>
      <c r="I62" s="379" t="s">
        <v>146</v>
      </c>
      <c r="J62" s="379"/>
    </row>
    <row r="63" spans="2:10" ht="16.5" customHeight="1" hidden="1">
      <c r="B63" s="10"/>
      <c r="C63" s="10"/>
      <c r="D63" s="11" t="s">
        <v>147</v>
      </c>
      <c r="E63" s="12" t="s">
        <v>148</v>
      </c>
      <c r="F63" s="13" t="s">
        <v>149</v>
      </c>
      <c r="G63" s="25" t="s">
        <v>150</v>
      </c>
      <c r="H63" s="25"/>
      <c r="I63" s="379" t="s">
        <v>151</v>
      </c>
      <c r="J63" s="379"/>
    </row>
    <row r="64" spans="2:10" ht="16.5" customHeight="1">
      <c r="B64" s="5"/>
      <c r="C64" s="6" t="s">
        <v>152</v>
      </c>
      <c r="D64" s="7"/>
      <c r="E64" s="8" t="s">
        <v>89</v>
      </c>
      <c r="F64" s="9" t="s">
        <v>153</v>
      </c>
      <c r="G64" s="23"/>
      <c r="H64" s="23">
        <f>H65</f>
        <v>-3350</v>
      </c>
      <c r="I64" s="384" t="s">
        <v>154</v>
      </c>
      <c r="J64" s="384"/>
    </row>
    <row r="65" spans="2:10" ht="16.5" customHeight="1">
      <c r="B65" s="5"/>
      <c r="C65" s="20"/>
      <c r="D65" s="18"/>
      <c r="E65" s="19" t="s">
        <v>265</v>
      </c>
      <c r="F65" s="16"/>
      <c r="G65" s="24"/>
      <c r="H65" s="24">
        <f>H66+H67</f>
        <v>-3350</v>
      </c>
      <c r="I65" s="16"/>
      <c r="J65" s="16"/>
    </row>
    <row r="66" spans="2:10" ht="16.5" customHeight="1" hidden="1">
      <c r="B66" s="10"/>
      <c r="C66" s="10"/>
      <c r="D66" s="11" t="s">
        <v>103</v>
      </c>
      <c r="E66" s="12" t="s">
        <v>104</v>
      </c>
      <c r="F66" s="13" t="s">
        <v>155</v>
      </c>
      <c r="G66" s="25"/>
      <c r="H66" s="25">
        <v>-3050</v>
      </c>
      <c r="I66" s="379" t="s">
        <v>137</v>
      </c>
      <c r="J66" s="379"/>
    </row>
    <row r="67" spans="2:9" ht="16.5" customHeight="1" hidden="1">
      <c r="B67" s="10"/>
      <c r="C67" s="10"/>
      <c r="D67" s="11" t="s">
        <v>142</v>
      </c>
      <c r="E67" s="12" t="s">
        <v>143</v>
      </c>
      <c r="F67" s="13" t="s">
        <v>539</v>
      </c>
      <c r="G67" s="13"/>
      <c r="H67" s="339" t="s">
        <v>540</v>
      </c>
      <c r="I67" s="32"/>
    </row>
    <row r="68" spans="2:12" ht="16.5" customHeight="1">
      <c r="B68" s="2" t="s">
        <v>156</v>
      </c>
      <c r="C68" s="2"/>
      <c r="D68" s="2"/>
      <c r="E68" s="3" t="s">
        <v>157</v>
      </c>
      <c r="F68" s="4" t="s">
        <v>158</v>
      </c>
      <c r="G68" s="22">
        <f>G69</f>
        <v>4160</v>
      </c>
      <c r="H68" s="22" t="str">
        <f>H69</f>
        <v>- 1 040,00</v>
      </c>
      <c r="I68" s="385" t="s">
        <v>159</v>
      </c>
      <c r="J68" s="385"/>
      <c r="L68" s="27">
        <f>G68+H68</f>
        <v>3120</v>
      </c>
    </row>
    <row r="69" spans="2:10" ht="16.5" customHeight="1">
      <c r="B69" s="5"/>
      <c r="C69" s="6" t="s">
        <v>160</v>
      </c>
      <c r="D69" s="7"/>
      <c r="E69" s="8" t="s">
        <v>161</v>
      </c>
      <c r="F69" s="9" t="s">
        <v>162</v>
      </c>
      <c r="G69" s="23">
        <f>G74+G75+G70</f>
        <v>4160</v>
      </c>
      <c r="H69" s="23" t="str">
        <f>H73</f>
        <v>- 1 040,00</v>
      </c>
      <c r="I69" s="384" t="s">
        <v>163</v>
      </c>
      <c r="J69" s="384"/>
    </row>
    <row r="70" spans="2:10" ht="15">
      <c r="B70" s="5"/>
      <c r="C70" s="17"/>
      <c r="D70" s="18"/>
      <c r="E70" s="19" t="s">
        <v>545</v>
      </c>
      <c r="F70" s="16"/>
      <c r="G70" s="24" t="str">
        <f>G71</f>
        <v>2 860,00</v>
      </c>
      <c r="H70" s="24"/>
      <c r="I70" s="16"/>
      <c r="J70" s="16"/>
    </row>
    <row r="71" spans="2:9" ht="30" customHeight="1" hidden="1">
      <c r="B71" s="10"/>
      <c r="C71" s="10"/>
      <c r="D71" s="11" t="s">
        <v>541</v>
      </c>
      <c r="E71" s="12" t="s">
        <v>542</v>
      </c>
      <c r="F71" s="13" t="s">
        <v>543</v>
      </c>
      <c r="G71" s="13" t="s">
        <v>544</v>
      </c>
      <c r="H71" s="337"/>
      <c r="I71" s="32"/>
    </row>
    <row r="72" spans="2:10" ht="16.5" customHeight="1">
      <c r="B72" s="5"/>
      <c r="C72" s="20"/>
      <c r="D72" s="18"/>
      <c r="E72" s="19" t="s">
        <v>265</v>
      </c>
      <c r="F72" s="16"/>
      <c r="G72" s="24">
        <f>G74+G75</f>
        <v>1300</v>
      </c>
      <c r="H72" s="24" t="str">
        <f>H73</f>
        <v>- 1 040,00</v>
      </c>
      <c r="I72" s="16"/>
      <c r="J72" s="16"/>
    </row>
    <row r="73" spans="2:10" ht="16.5" customHeight="1" hidden="1">
      <c r="B73" s="10"/>
      <c r="C73" s="10"/>
      <c r="D73" s="11" t="s">
        <v>142</v>
      </c>
      <c r="E73" s="12" t="s">
        <v>143</v>
      </c>
      <c r="F73" s="13" t="s">
        <v>164</v>
      </c>
      <c r="G73" s="25"/>
      <c r="H73" s="25" t="s">
        <v>165</v>
      </c>
      <c r="I73" s="379" t="s">
        <v>166</v>
      </c>
      <c r="J73" s="379"/>
    </row>
    <row r="74" spans="2:10" ht="16.5" customHeight="1" hidden="1">
      <c r="B74" s="10"/>
      <c r="C74" s="10"/>
      <c r="D74" s="11" t="s">
        <v>49</v>
      </c>
      <c r="E74" s="12" t="s">
        <v>50</v>
      </c>
      <c r="F74" s="13" t="s">
        <v>167</v>
      </c>
      <c r="G74" s="25">
        <v>258</v>
      </c>
      <c r="H74" s="25"/>
      <c r="I74" s="379" t="s">
        <v>168</v>
      </c>
      <c r="J74" s="379"/>
    </row>
    <row r="75" spans="2:10" ht="16.5" customHeight="1" hidden="1">
      <c r="B75" s="10"/>
      <c r="C75" s="10"/>
      <c r="D75" s="11" t="s">
        <v>25</v>
      </c>
      <c r="E75" s="12" t="s">
        <v>26</v>
      </c>
      <c r="F75" s="13" t="s">
        <v>169</v>
      </c>
      <c r="G75" s="25">
        <v>1042</v>
      </c>
      <c r="H75" s="25"/>
      <c r="I75" s="379" t="s">
        <v>170</v>
      </c>
      <c r="J75" s="379"/>
    </row>
    <row r="76" spans="2:12" ht="16.5" customHeight="1">
      <c r="B76" s="2" t="s">
        <v>171</v>
      </c>
      <c r="C76" s="2"/>
      <c r="D76" s="2"/>
      <c r="E76" s="3" t="s">
        <v>172</v>
      </c>
      <c r="F76" s="4" t="s">
        <v>173</v>
      </c>
      <c r="G76" s="22">
        <f>G77+G82</f>
        <v>1000</v>
      </c>
      <c r="H76" s="22">
        <f>H77+H82</f>
        <v>-301000</v>
      </c>
      <c r="I76" s="385" t="s">
        <v>175</v>
      </c>
      <c r="J76" s="385"/>
      <c r="L76" s="27">
        <f>G76+H76</f>
        <v>-300000</v>
      </c>
    </row>
    <row r="77" spans="2:10" ht="16.5" customHeight="1">
      <c r="B77" s="5"/>
      <c r="C77" s="6" t="s">
        <v>176</v>
      </c>
      <c r="D77" s="7"/>
      <c r="E77" s="8" t="s">
        <v>177</v>
      </c>
      <c r="F77" s="9" t="s">
        <v>178</v>
      </c>
      <c r="G77" s="23"/>
      <c r="H77" s="23" t="s">
        <v>174</v>
      </c>
      <c r="I77" s="384" t="s">
        <v>179</v>
      </c>
      <c r="J77" s="384"/>
    </row>
    <row r="78" spans="2:10" ht="22.5" customHeight="1">
      <c r="B78" s="348"/>
      <c r="C78" s="349"/>
      <c r="D78" s="350"/>
      <c r="E78" s="351" t="s">
        <v>271</v>
      </c>
      <c r="F78" s="352"/>
      <c r="G78" s="353"/>
      <c r="H78" s="353" t="str">
        <f>H79</f>
        <v>- 300 000,00</v>
      </c>
      <c r="I78" s="16"/>
      <c r="J78" s="16"/>
    </row>
    <row r="79" spans="2:10" ht="16.5" customHeight="1" hidden="1">
      <c r="B79" s="343"/>
      <c r="C79" s="343"/>
      <c r="D79" s="344" t="s">
        <v>34</v>
      </c>
      <c r="E79" s="345" t="s">
        <v>35</v>
      </c>
      <c r="F79" s="346" t="s">
        <v>180</v>
      </c>
      <c r="G79" s="347" t="s">
        <v>174</v>
      </c>
      <c r="H79" s="347" t="s">
        <v>174</v>
      </c>
      <c r="I79" s="379" t="s">
        <v>181</v>
      </c>
      <c r="J79" s="379"/>
    </row>
    <row r="80" spans="2:11" ht="9" customHeight="1">
      <c r="B80" s="386"/>
      <c r="C80" s="387"/>
      <c r="D80" s="387"/>
      <c r="E80" s="387"/>
      <c r="F80" s="387"/>
      <c r="G80" s="387"/>
      <c r="H80" s="387"/>
      <c r="I80" s="387"/>
      <c r="J80" s="387"/>
      <c r="K80" s="387"/>
    </row>
    <row r="81" spans="2:12" ht="16.5" customHeight="1"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28" t="s">
        <v>270</v>
      </c>
      <c r="H81" s="28" t="s">
        <v>269</v>
      </c>
      <c r="I81" s="388" t="s">
        <v>6</v>
      </c>
      <c r="J81" s="388"/>
      <c r="L81" s="27">
        <f>G82+H82</f>
        <v>0</v>
      </c>
    </row>
    <row r="82" spans="2:9" ht="16.5" customHeight="1">
      <c r="B82" s="5"/>
      <c r="C82" s="6" t="s">
        <v>552</v>
      </c>
      <c r="D82" s="7"/>
      <c r="E82" s="8" t="s">
        <v>553</v>
      </c>
      <c r="F82" s="9" t="s">
        <v>554</v>
      </c>
      <c r="G82" s="341">
        <f>G83+G85</f>
        <v>1000</v>
      </c>
      <c r="H82" s="342" t="str">
        <f>H85</f>
        <v>-1 000,00</v>
      </c>
      <c r="I82" s="340"/>
    </row>
    <row r="83" spans="2:10" ht="16.5" customHeight="1">
      <c r="B83" s="5"/>
      <c r="C83" s="17"/>
      <c r="D83" s="18"/>
      <c r="E83" s="19" t="s">
        <v>264</v>
      </c>
      <c r="F83" s="16"/>
      <c r="G83" s="24" t="str">
        <f>G84</f>
        <v>800,00</v>
      </c>
      <c r="H83" s="24"/>
      <c r="I83" s="16"/>
      <c r="J83" s="16"/>
    </row>
    <row r="84" spans="2:9" ht="16.5" customHeight="1" hidden="1">
      <c r="B84" s="10"/>
      <c r="C84" s="10"/>
      <c r="D84" s="11" t="s">
        <v>71</v>
      </c>
      <c r="E84" s="12" t="s">
        <v>72</v>
      </c>
      <c r="F84" s="13" t="s">
        <v>555</v>
      </c>
      <c r="G84" s="13" t="s">
        <v>146</v>
      </c>
      <c r="H84" s="337"/>
      <c r="I84" s="338"/>
    </row>
    <row r="85" spans="2:10" ht="16.5" customHeight="1">
      <c r="B85" s="5"/>
      <c r="C85" s="20"/>
      <c r="D85" s="18"/>
      <c r="E85" s="19" t="s">
        <v>265</v>
      </c>
      <c r="F85" s="16"/>
      <c r="G85" s="24" t="str">
        <f>G87</f>
        <v>200,00</v>
      </c>
      <c r="H85" s="24" t="str">
        <f>H86</f>
        <v>-1 000,00</v>
      </c>
      <c r="I85" s="16"/>
      <c r="J85" s="16"/>
    </row>
    <row r="86" spans="2:9" ht="16.5" customHeight="1" hidden="1">
      <c r="B86" s="10"/>
      <c r="C86" s="10"/>
      <c r="D86" s="11" t="s">
        <v>142</v>
      </c>
      <c r="E86" s="12" t="s">
        <v>143</v>
      </c>
      <c r="F86" s="13" t="s">
        <v>556</v>
      </c>
      <c r="G86" s="13"/>
      <c r="H86" s="339" t="s">
        <v>559</v>
      </c>
      <c r="I86" s="338"/>
    </row>
    <row r="87" spans="2:9" ht="16.5" customHeight="1" hidden="1">
      <c r="B87" s="10"/>
      <c r="C87" s="10"/>
      <c r="D87" s="11" t="s">
        <v>25</v>
      </c>
      <c r="E87" s="12" t="s">
        <v>26</v>
      </c>
      <c r="F87" s="13" t="s">
        <v>557</v>
      </c>
      <c r="G87" s="13" t="s">
        <v>558</v>
      </c>
      <c r="H87" s="337"/>
      <c r="I87" s="338"/>
    </row>
    <row r="88" spans="2:12" ht="16.5" customHeight="1">
      <c r="B88" s="2" t="s">
        <v>182</v>
      </c>
      <c r="C88" s="2"/>
      <c r="D88" s="2"/>
      <c r="E88" s="3" t="s">
        <v>183</v>
      </c>
      <c r="F88" s="4" t="s">
        <v>184</v>
      </c>
      <c r="G88" s="22" t="str">
        <f>G95</f>
        <v>1 946,00</v>
      </c>
      <c r="H88" s="22">
        <f>H89+H92+H95</f>
        <v>-7570</v>
      </c>
      <c r="I88" s="385" t="s">
        <v>185</v>
      </c>
      <c r="J88" s="385"/>
      <c r="L88" s="27">
        <f>G88+H88</f>
        <v>-5624</v>
      </c>
    </row>
    <row r="89" spans="2:10" ht="16.5" customHeight="1">
      <c r="B89" s="5"/>
      <c r="C89" s="6" t="s">
        <v>186</v>
      </c>
      <c r="D89" s="7"/>
      <c r="E89" s="8" t="s">
        <v>187</v>
      </c>
      <c r="F89" s="9" t="s">
        <v>188</v>
      </c>
      <c r="G89" s="23"/>
      <c r="H89" s="23" t="s">
        <v>189</v>
      </c>
      <c r="I89" s="384" t="s">
        <v>190</v>
      </c>
      <c r="J89" s="384"/>
    </row>
    <row r="90" spans="2:10" ht="16.5" customHeight="1">
      <c r="B90" s="5"/>
      <c r="C90" s="20"/>
      <c r="D90" s="18"/>
      <c r="E90" s="19" t="s">
        <v>265</v>
      </c>
      <c r="F90" s="16"/>
      <c r="G90" s="24"/>
      <c r="H90" s="24" t="str">
        <f>H91</f>
        <v>- 1 000,00</v>
      </c>
      <c r="I90" s="16"/>
      <c r="J90" s="16"/>
    </row>
    <row r="91" spans="2:10" ht="19.5" customHeight="1" hidden="1">
      <c r="B91" s="10"/>
      <c r="C91" s="10"/>
      <c r="D91" s="11" t="s">
        <v>191</v>
      </c>
      <c r="E91" s="12" t="s">
        <v>192</v>
      </c>
      <c r="F91" s="13" t="s">
        <v>188</v>
      </c>
      <c r="G91" s="25"/>
      <c r="H91" s="25" t="s">
        <v>189</v>
      </c>
      <c r="I91" s="379" t="s">
        <v>190</v>
      </c>
      <c r="J91" s="379"/>
    </row>
    <row r="92" spans="2:10" ht="16.5" customHeight="1">
      <c r="B92" s="5"/>
      <c r="C92" s="6" t="s">
        <v>193</v>
      </c>
      <c r="D92" s="7"/>
      <c r="E92" s="8" t="s">
        <v>194</v>
      </c>
      <c r="F92" s="9" t="s">
        <v>195</v>
      </c>
      <c r="G92" s="23"/>
      <c r="H92" s="23" t="s">
        <v>196</v>
      </c>
      <c r="I92" s="384" t="s">
        <v>197</v>
      </c>
      <c r="J92" s="384"/>
    </row>
    <row r="93" spans="2:10" ht="16.5" customHeight="1">
      <c r="B93" s="5"/>
      <c r="C93" s="20"/>
      <c r="D93" s="18"/>
      <c r="E93" s="19" t="s">
        <v>265</v>
      </c>
      <c r="F93" s="16"/>
      <c r="G93" s="24"/>
      <c r="H93" s="24" t="str">
        <f>H94</f>
        <v>- 3 400,00</v>
      </c>
      <c r="I93" s="16"/>
      <c r="J93" s="16"/>
    </row>
    <row r="94" spans="2:10" ht="16.5" customHeight="1" hidden="1">
      <c r="B94" s="10"/>
      <c r="C94" s="10"/>
      <c r="D94" s="11" t="s">
        <v>198</v>
      </c>
      <c r="E94" s="12" t="s">
        <v>199</v>
      </c>
      <c r="F94" s="13" t="s">
        <v>195</v>
      </c>
      <c r="G94" s="25"/>
      <c r="H94" s="25" t="s">
        <v>196</v>
      </c>
      <c r="I94" s="379" t="s">
        <v>197</v>
      </c>
      <c r="J94" s="379"/>
    </row>
    <row r="95" spans="2:10" ht="16.5" customHeight="1">
      <c r="B95" s="5"/>
      <c r="C95" s="6" t="s">
        <v>200</v>
      </c>
      <c r="D95" s="7"/>
      <c r="E95" s="8" t="s">
        <v>201</v>
      </c>
      <c r="F95" s="9" t="s">
        <v>202</v>
      </c>
      <c r="G95" s="23" t="str">
        <f>G97</f>
        <v>1 946,00</v>
      </c>
      <c r="H95" s="23">
        <f>H99</f>
        <v>-3170</v>
      </c>
      <c r="I95" s="384" t="s">
        <v>203</v>
      </c>
      <c r="J95" s="384"/>
    </row>
    <row r="96" spans="2:9" ht="19.5" customHeight="1">
      <c r="B96" s="328"/>
      <c r="C96" s="329"/>
      <c r="D96" s="380" t="s">
        <v>521</v>
      </c>
      <c r="E96" s="380"/>
      <c r="F96" s="380"/>
      <c r="G96" s="380"/>
      <c r="H96" s="381"/>
      <c r="I96" s="13"/>
    </row>
    <row r="97" spans="2:10" ht="16.5" customHeight="1">
      <c r="B97" s="5"/>
      <c r="C97" s="17"/>
      <c r="D97" s="18"/>
      <c r="E97" s="19" t="s">
        <v>264</v>
      </c>
      <c r="F97" s="16"/>
      <c r="G97" s="24" t="str">
        <f>G98</f>
        <v>1 946,00</v>
      </c>
      <c r="H97" s="24"/>
      <c r="I97" s="16"/>
      <c r="J97" s="16"/>
    </row>
    <row r="98" spans="2:10" ht="16.5" customHeight="1" hidden="1">
      <c r="B98" s="10"/>
      <c r="C98" s="10"/>
      <c r="D98" s="11" t="s">
        <v>204</v>
      </c>
      <c r="E98" s="12" t="s">
        <v>205</v>
      </c>
      <c r="F98" s="13" t="s">
        <v>206</v>
      </c>
      <c r="G98" s="25" t="s">
        <v>207</v>
      </c>
      <c r="H98" s="25"/>
      <c r="I98" s="379" t="s">
        <v>208</v>
      </c>
      <c r="J98" s="379"/>
    </row>
    <row r="99" spans="2:10" ht="16.5" customHeight="1">
      <c r="B99" s="5"/>
      <c r="C99" s="20"/>
      <c r="D99" s="18"/>
      <c r="E99" s="19" t="s">
        <v>265</v>
      </c>
      <c r="F99" s="16"/>
      <c r="G99" s="24"/>
      <c r="H99" s="24">
        <f>H100+H101+H102+H103</f>
        <v>-3170</v>
      </c>
      <c r="I99" s="16"/>
      <c r="J99" s="16"/>
    </row>
    <row r="100" spans="2:10" ht="16.5" customHeight="1" hidden="1">
      <c r="B100" s="10"/>
      <c r="C100" s="10"/>
      <c r="D100" s="11" t="s">
        <v>142</v>
      </c>
      <c r="E100" s="12" t="s">
        <v>143</v>
      </c>
      <c r="F100" s="13" t="s">
        <v>209</v>
      </c>
      <c r="G100" s="25"/>
      <c r="H100" s="25" t="s">
        <v>210</v>
      </c>
      <c r="I100" s="379" t="s">
        <v>211</v>
      </c>
      <c r="J100" s="379"/>
    </row>
    <row r="101" spans="2:10" ht="16.5" customHeight="1" hidden="1">
      <c r="B101" s="10"/>
      <c r="C101" s="10"/>
      <c r="D101" s="11" t="s">
        <v>212</v>
      </c>
      <c r="E101" s="12" t="s">
        <v>213</v>
      </c>
      <c r="F101" s="13" t="s">
        <v>132</v>
      </c>
      <c r="G101" s="25"/>
      <c r="H101" s="25" t="s">
        <v>214</v>
      </c>
      <c r="I101" s="379" t="s">
        <v>215</v>
      </c>
      <c r="J101" s="379"/>
    </row>
    <row r="102" spans="2:10" ht="16.5" customHeight="1" hidden="1">
      <c r="B102" s="10"/>
      <c r="C102" s="10"/>
      <c r="D102" s="11" t="s">
        <v>147</v>
      </c>
      <c r="E102" s="12" t="s">
        <v>148</v>
      </c>
      <c r="F102" s="13" t="s">
        <v>128</v>
      </c>
      <c r="G102" s="25"/>
      <c r="H102" s="25" t="s">
        <v>129</v>
      </c>
      <c r="I102" s="379" t="s">
        <v>19</v>
      </c>
      <c r="J102" s="379"/>
    </row>
    <row r="103" spans="2:10" ht="19.5" customHeight="1" hidden="1">
      <c r="B103" s="10"/>
      <c r="C103" s="10"/>
      <c r="D103" s="11" t="s">
        <v>216</v>
      </c>
      <c r="E103" s="12" t="s">
        <v>217</v>
      </c>
      <c r="F103" s="13" t="s">
        <v>167</v>
      </c>
      <c r="G103" s="25"/>
      <c r="H103" s="25" t="s">
        <v>218</v>
      </c>
      <c r="I103" s="379" t="s">
        <v>219</v>
      </c>
      <c r="J103" s="379"/>
    </row>
    <row r="104" spans="2:12" ht="16.5" customHeight="1">
      <c r="B104" s="2" t="s">
        <v>220</v>
      </c>
      <c r="C104" s="2"/>
      <c r="D104" s="2"/>
      <c r="E104" s="3" t="s">
        <v>221</v>
      </c>
      <c r="F104" s="4" t="s">
        <v>222</v>
      </c>
      <c r="G104" s="22" t="str">
        <f>G108</f>
        <v>2 000,00</v>
      </c>
      <c r="H104" s="22" t="s">
        <v>223</v>
      </c>
      <c r="I104" s="385" t="s">
        <v>224</v>
      </c>
      <c r="J104" s="385"/>
      <c r="L104" s="27">
        <f>G104+H104</f>
        <v>-1600</v>
      </c>
    </row>
    <row r="105" spans="2:10" ht="16.5" customHeight="1">
      <c r="B105" s="5"/>
      <c r="C105" s="6" t="s">
        <v>225</v>
      </c>
      <c r="D105" s="7"/>
      <c r="E105" s="8" t="s">
        <v>226</v>
      </c>
      <c r="F105" s="9" t="s">
        <v>227</v>
      </c>
      <c r="G105" s="23"/>
      <c r="H105" s="23" t="s">
        <v>223</v>
      </c>
      <c r="I105" s="384" t="s">
        <v>19</v>
      </c>
      <c r="J105" s="384"/>
    </row>
    <row r="106" spans="2:10" ht="16.5" customHeight="1">
      <c r="B106" s="5"/>
      <c r="C106" s="20"/>
      <c r="D106" s="18"/>
      <c r="E106" s="19" t="s">
        <v>265</v>
      </c>
      <c r="F106" s="16"/>
      <c r="G106" s="24"/>
      <c r="H106" s="24" t="str">
        <f>H107</f>
        <v>- 3 600,00</v>
      </c>
      <c r="I106" s="16"/>
      <c r="J106" s="16"/>
    </row>
    <row r="107" spans="2:10" ht="16.5" customHeight="1" hidden="1">
      <c r="B107" s="10"/>
      <c r="C107" s="10"/>
      <c r="D107" s="11" t="s">
        <v>25</v>
      </c>
      <c r="E107" s="12" t="s">
        <v>26</v>
      </c>
      <c r="F107" s="13" t="s">
        <v>227</v>
      </c>
      <c r="G107" s="25"/>
      <c r="H107" s="25" t="s">
        <v>223</v>
      </c>
      <c r="I107" s="379" t="s">
        <v>19</v>
      </c>
      <c r="J107" s="379"/>
    </row>
    <row r="108" spans="2:9" ht="16.5" customHeight="1">
      <c r="B108" s="5"/>
      <c r="C108" s="6" t="s">
        <v>546</v>
      </c>
      <c r="D108" s="7"/>
      <c r="E108" s="8" t="s">
        <v>547</v>
      </c>
      <c r="F108" s="9" t="s">
        <v>548</v>
      </c>
      <c r="G108" s="9" t="s">
        <v>149</v>
      </c>
      <c r="H108" s="336"/>
      <c r="I108" s="340"/>
    </row>
    <row r="109" spans="2:10" ht="16.5" customHeight="1">
      <c r="B109" s="5"/>
      <c r="C109" s="20"/>
      <c r="D109" s="18"/>
      <c r="E109" s="19" t="s">
        <v>265</v>
      </c>
      <c r="F109" s="16"/>
      <c r="G109" s="24">
        <v>2000</v>
      </c>
      <c r="H109" s="24"/>
      <c r="I109" s="16"/>
      <c r="J109" s="16"/>
    </row>
    <row r="110" spans="2:9" ht="16.5" customHeight="1" hidden="1">
      <c r="B110" s="10"/>
      <c r="C110" s="10"/>
      <c r="D110" s="11" t="s">
        <v>549</v>
      </c>
      <c r="E110" s="12" t="s">
        <v>550</v>
      </c>
      <c r="F110" s="13" t="s">
        <v>551</v>
      </c>
      <c r="G110" s="13" t="s">
        <v>149</v>
      </c>
      <c r="H110" s="337"/>
      <c r="I110" s="338"/>
    </row>
    <row r="111" spans="2:12" ht="16.5" customHeight="1">
      <c r="B111" s="2" t="s">
        <v>228</v>
      </c>
      <c r="C111" s="2"/>
      <c r="D111" s="2"/>
      <c r="E111" s="3" t="s">
        <v>229</v>
      </c>
      <c r="F111" s="4" t="s">
        <v>230</v>
      </c>
      <c r="G111" s="22">
        <f>G112+G117</f>
        <v>13400</v>
      </c>
      <c r="H111" s="22" t="str">
        <f>H112</f>
        <v>- 3 800,00</v>
      </c>
      <c r="I111" s="385" t="s">
        <v>231</v>
      </c>
      <c r="J111" s="385"/>
      <c r="L111" s="27">
        <f>G111+H111</f>
        <v>9600</v>
      </c>
    </row>
    <row r="112" spans="2:10" ht="16.5" customHeight="1">
      <c r="B112" s="5"/>
      <c r="C112" s="6" t="s">
        <v>232</v>
      </c>
      <c r="D112" s="7"/>
      <c r="E112" s="8" t="s">
        <v>233</v>
      </c>
      <c r="F112" s="9" t="s">
        <v>234</v>
      </c>
      <c r="G112" s="23" t="str">
        <f>G113</f>
        <v>1 200,00</v>
      </c>
      <c r="H112" s="23" t="str">
        <f>H115</f>
        <v>- 3 800,00</v>
      </c>
      <c r="I112" s="384" t="s">
        <v>235</v>
      </c>
      <c r="J112" s="384"/>
    </row>
    <row r="113" spans="2:10" ht="16.5" customHeight="1">
      <c r="B113" s="5"/>
      <c r="C113" s="17"/>
      <c r="D113" s="18"/>
      <c r="E113" s="19" t="s">
        <v>264</v>
      </c>
      <c r="F113" s="16"/>
      <c r="G113" s="24" t="str">
        <f>G114</f>
        <v>1 200,00</v>
      </c>
      <c r="H113" s="24"/>
      <c r="I113" s="16"/>
      <c r="J113" s="16"/>
    </row>
    <row r="114" spans="2:10" ht="16.5" customHeight="1" hidden="1">
      <c r="B114" s="10"/>
      <c r="C114" s="10"/>
      <c r="D114" s="11" t="s">
        <v>71</v>
      </c>
      <c r="E114" s="12" t="s">
        <v>72</v>
      </c>
      <c r="F114" s="13" t="s">
        <v>19</v>
      </c>
      <c r="G114" s="25" t="s">
        <v>236</v>
      </c>
      <c r="H114" s="25"/>
      <c r="I114" s="379" t="s">
        <v>236</v>
      </c>
      <c r="J114" s="379"/>
    </row>
    <row r="115" spans="2:10" ht="16.5" customHeight="1">
      <c r="B115" s="5"/>
      <c r="C115" s="20"/>
      <c r="D115" s="18"/>
      <c r="E115" s="19" t="s">
        <v>265</v>
      </c>
      <c r="F115" s="16"/>
      <c r="G115" s="24"/>
      <c r="H115" s="24" t="str">
        <f>H116</f>
        <v>- 3 800,00</v>
      </c>
      <c r="I115" s="16"/>
      <c r="J115" s="16"/>
    </row>
    <row r="116" spans="2:10" ht="16.5" customHeight="1" hidden="1">
      <c r="B116" s="10"/>
      <c r="C116" s="10"/>
      <c r="D116" s="11" t="s">
        <v>25</v>
      </c>
      <c r="E116" s="12" t="s">
        <v>26</v>
      </c>
      <c r="F116" s="13" t="s">
        <v>65</v>
      </c>
      <c r="G116" s="25"/>
      <c r="H116" s="25" t="s">
        <v>237</v>
      </c>
      <c r="I116" s="379" t="s">
        <v>236</v>
      </c>
      <c r="J116" s="379"/>
    </row>
    <row r="117" spans="2:10" ht="16.5" customHeight="1">
      <c r="B117" s="5"/>
      <c r="C117" s="29" t="s">
        <v>272</v>
      </c>
      <c r="D117" s="7"/>
      <c r="E117" s="30" t="s">
        <v>273</v>
      </c>
      <c r="F117" s="9" t="s">
        <v>234</v>
      </c>
      <c r="G117" s="23">
        <v>12200</v>
      </c>
      <c r="H117" s="23"/>
      <c r="I117" s="384" t="s">
        <v>235</v>
      </c>
      <c r="J117" s="384"/>
    </row>
    <row r="118" spans="2:10" ht="16.5" customHeight="1">
      <c r="B118" s="5"/>
      <c r="C118" s="20"/>
      <c r="D118" s="18"/>
      <c r="E118" s="19" t="s">
        <v>265</v>
      </c>
      <c r="F118" s="16"/>
      <c r="G118" s="24">
        <v>12200</v>
      </c>
      <c r="H118" s="24"/>
      <c r="I118" s="16"/>
      <c r="J118" s="16"/>
    </row>
    <row r="119" spans="2:12" ht="16.5" customHeight="1">
      <c r="B119" s="2" t="s">
        <v>238</v>
      </c>
      <c r="C119" s="2"/>
      <c r="D119" s="2"/>
      <c r="E119" s="3" t="s">
        <v>239</v>
      </c>
      <c r="F119" s="4" t="s">
        <v>240</v>
      </c>
      <c r="G119" s="22">
        <f>G120</f>
        <v>10120</v>
      </c>
      <c r="H119" s="22">
        <f>H120</f>
        <v>-7000</v>
      </c>
      <c r="I119" s="385" t="s">
        <v>241</v>
      </c>
      <c r="J119" s="385"/>
      <c r="L119" s="27">
        <f>G119+H119</f>
        <v>3120</v>
      </c>
    </row>
    <row r="120" spans="2:10" ht="16.5" customHeight="1">
      <c r="B120" s="5"/>
      <c r="C120" s="6" t="s">
        <v>242</v>
      </c>
      <c r="D120" s="7"/>
      <c r="E120" s="8" t="s">
        <v>243</v>
      </c>
      <c r="F120" s="9" t="s">
        <v>244</v>
      </c>
      <c r="G120" s="23">
        <f>G121</f>
        <v>10120</v>
      </c>
      <c r="H120" s="23">
        <f>H121</f>
        <v>-7000</v>
      </c>
      <c r="I120" s="384" t="s">
        <v>245</v>
      </c>
      <c r="J120" s="384"/>
    </row>
    <row r="121" spans="2:10" ht="16.5" customHeight="1">
      <c r="B121" s="5"/>
      <c r="C121" s="20"/>
      <c r="D121" s="18"/>
      <c r="E121" s="19" t="s">
        <v>265</v>
      </c>
      <c r="F121" s="16"/>
      <c r="G121" s="24">
        <f>G123+7000</f>
        <v>10120</v>
      </c>
      <c r="H121" s="24">
        <v>-7000</v>
      </c>
      <c r="I121" s="16"/>
      <c r="J121" s="16"/>
    </row>
    <row r="122" spans="2:10" ht="16.5" customHeight="1" hidden="1">
      <c r="B122" s="10"/>
      <c r="C122" s="10"/>
      <c r="D122" s="11" t="s">
        <v>63</v>
      </c>
      <c r="E122" s="12" t="s">
        <v>64</v>
      </c>
      <c r="F122" s="13" t="s">
        <v>246</v>
      </c>
      <c r="G122" s="25"/>
      <c r="H122" s="25" t="s">
        <v>247</v>
      </c>
      <c r="I122" s="379" t="s">
        <v>248</v>
      </c>
      <c r="J122" s="379"/>
    </row>
    <row r="123" spans="2:10" ht="16.5" customHeight="1" hidden="1">
      <c r="B123" s="10"/>
      <c r="C123" s="10"/>
      <c r="D123" s="11" t="s">
        <v>25</v>
      </c>
      <c r="E123" s="12" t="s">
        <v>26</v>
      </c>
      <c r="F123" s="13" t="s">
        <v>19</v>
      </c>
      <c r="G123" s="25" t="s">
        <v>249</v>
      </c>
      <c r="H123" s="25"/>
      <c r="I123" s="379" t="s">
        <v>249</v>
      </c>
      <c r="J123" s="379"/>
    </row>
    <row r="124" spans="2:10" ht="16.5" customHeight="1">
      <c r="B124" s="2" t="s">
        <v>250</v>
      </c>
      <c r="C124" s="2"/>
      <c r="D124" s="2"/>
      <c r="E124" s="3" t="s">
        <v>251</v>
      </c>
      <c r="F124" s="4" t="s">
        <v>252</v>
      </c>
      <c r="G124" s="22" t="s">
        <v>253</v>
      </c>
      <c r="H124" s="22"/>
      <c r="I124" s="385" t="s">
        <v>254</v>
      </c>
      <c r="J124" s="385"/>
    </row>
    <row r="125" spans="2:10" ht="16.5" customHeight="1">
      <c r="B125" s="5"/>
      <c r="C125" s="6" t="s">
        <v>255</v>
      </c>
      <c r="D125" s="7"/>
      <c r="E125" s="8" t="s">
        <v>256</v>
      </c>
      <c r="F125" s="9" t="s">
        <v>257</v>
      </c>
      <c r="G125" s="23" t="s">
        <v>253</v>
      </c>
      <c r="H125" s="23"/>
      <c r="I125" s="384" t="s">
        <v>258</v>
      </c>
      <c r="J125" s="384"/>
    </row>
    <row r="126" spans="2:10" ht="16.5" customHeight="1">
      <c r="B126" s="5"/>
      <c r="C126" s="17"/>
      <c r="D126" s="18"/>
      <c r="E126" s="19" t="s">
        <v>264</v>
      </c>
      <c r="F126" s="16"/>
      <c r="G126" s="24" t="str">
        <f>G127</f>
        <v>2 600,00</v>
      </c>
      <c r="H126" s="24"/>
      <c r="I126" s="16"/>
      <c r="J126" s="16"/>
    </row>
    <row r="127" spans="2:10" ht="16.5" customHeight="1" hidden="1">
      <c r="B127" s="10"/>
      <c r="C127" s="10"/>
      <c r="D127" s="11" t="s">
        <v>71</v>
      </c>
      <c r="E127" s="12" t="s">
        <v>72</v>
      </c>
      <c r="F127" s="13" t="s">
        <v>259</v>
      </c>
      <c r="G127" s="25" t="s">
        <v>253</v>
      </c>
      <c r="H127" s="25"/>
      <c r="I127" s="379" t="s">
        <v>260</v>
      </c>
      <c r="J127" s="379"/>
    </row>
    <row r="128" spans="2:11" ht="5.25" customHeight="1" hidden="1">
      <c r="B128" s="391"/>
      <c r="C128" s="391"/>
      <c r="D128" s="391"/>
      <c r="E128" s="377"/>
      <c r="F128" s="377"/>
      <c r="G128" s="377"/>
      <c r="H128" s="377"/>
      <c r="I128" s="377"/>
      <c r="J128" s="377"/>
      <c r="K128" s="377"/>
    </row>
    <row r="129" spans="2:12" ht="16.5" customHeight="1">
      <c r="B129" s="392" t="s">
        <v>261</v>
      </c>
      <c r="C129" s="392"/>
      <c r="D129" s="392"/>
      <c r="E129" s="392"/>
      <c r="F129" s="14" t="s">
        <v>262</v>
      </c>
      <c r="G129" s="26">
        <f>G124+G119+G111+G104+G88+G76+G68+G44+G36+G28+G22+G4</f>
        <v>151033.61</v>
      </c>
      <c r="H129" s="26">
        <f>H124+H119+H111+H104+H88+H76+H68+H44+H36+H28+H22+H4</f>
        <v>-590708</v>
      </c>
      <c r="I129" s="383" t="s">
        <v>263</v>
      </c>
      <c r="J129" s="383"/>
      <c r="L129" s="27">
        <f>H129+G129</f>
        <v>-439674.39</v>
      </c>
    </row>
    <row r="130" spans="1:11" ht="29.25" customHeight="1">
      <c r="A130" s="377"/>
      <c r="B130" s="377"/>
      <c r="C130" s="377"/>
      <c r="D130" s="377"/>
      <c r="E130" s="377"/>
      <c r="F130" s="377"/>
      <c r="G130" s="377"/>
      <c r="H130" s="377"/>
      <c r="I130" s="377"/>
      <c r="J130" s="377"/>
      <c r="K130" s="377"/>
    </row>
    <row r="131" spans="1:11" ht="11.25" customHeight="1">
      <c r="A131" s="377"/>
      <c r="B131" s="377"/>
      <c r="C131" s="377"/>
      <c r="D131" s="377"/>
      <c r="E131" s="377"/>
      <c r="F131" s="377"/>
      <c r="G131" s="377"/>
      <c r="H131" s="377"/>
      <c r="I131" s="377"/>
      <c r="J131" s="378"/>
      <c r="K131" s="378"/>
    </row>
  </sheetData>
  <mergeCells count="84">
    <mergeCell ref="A130:K130"/>
    <mergeCell ref="A131:I131"/>
    <mergeCell ref="J131:K131"/>
    <mergeCell ref="B2:K2"/>
    <mergeCell ref="I127:J127"/>
    <mergeCell ref="B128:D128"/>
    <mergeCell ref="E128:K128"/>
    <mergeCell ref="B129:E129"/>
    <mergeCell ref="I129:J129"/>
    <mergeCell ref="I122:J122"/>
    <mergeCell ref="I124:J124"/>
    <mergeCell ref="I125:J125"/>
    <mergeCell ref="I114:J114"/>
    <mergeCell ref="I116:J116"/>
    <mergeCell ref="I119:J119"/>
    <mergeCell ref="I120:J120"/>
    <mergeCell ref="I107:J107"/>
    <mergeCell ref="I111:J111"/>
    <mergeCell ref="I112:J112"/>
    <mergeCell ref="I123:J123"/>
    <mergeCell ref="I102:J102"/>
    <mergeCell ref="I103:J103"/>
    <mergeCell ref="I104:J104"/>
    <mergeCell ref="I105:J105"/>
    <mergeCell ref="I95:J95"/>
    <mergeCell ref="I98:J98"/>
    <mergeCell ref="I100:J100"/>
    <mergeCell ref="I101:J101"/>
    <mergeCell ref="I89:J89"/>
    <mergeCell ref="I91:J91"/>
    <mergeCell ref="I92:J92"/>
    <mergeCell ref="I94:J94"/>
    <mergeCell ref="I76:J76"/>
    <mergeCell ref="I77:J77"/>
    <mergeCell ref="I79:J79"/>
    <mergeCell ref="I88:J88"/>
    <mergeCell ref="B80:K80"/>
    <mergeCell ref="I81:J81"/>
    <mergeCell ref="I69:J69"/>
    <mergeCell ref="I73:J73"/>
    <mergeCell ref="I74:J74"/>
    <mergeCell ref="I75:J75"/>
    <mergeCell ref="I63:J63"/>
    <mergeCell ref="I64:J64"/>
    <mergeCell ref="I66:J66"/>
    <mergeCell ref="I68:J68"/>
    <mergeCell ref="I58:J58"/>
    <mergeCell ref="I59:J59"/>
    <mergeCell ref="I60:J60"/>
    <mergeCell ref="I62:J62"/>
    <mergeCell ref="I52:J52"/>
    <mergeCell ref="I53:J53"/>
    <mergeCell ref="I56:J56"/>
    <mergeCell ref="I57:J57"/>
    <mergeCell ref="I45:J45"/>
    <mergeCell ref="I47:J47"/>
    <mergeCell ref="I48:J48"/>
    <mergeCell ref="I51:J51"/>
    <mergeCell ref="I39:J39"/>
    <mergeCell ref="I40:J40"/>
    <mergeCell ref="I43:J43"/>
    <mergeCell ref="I44:J44"/>
    <mergeCell ref="I32:J32"/>
    <mergeCell ref="I34:J34"/>
    <mergeCell ref="I36:J36"/>
    <mergeCell ref="I37:J37"/>
    <mergeCell ref="I27:J27"/>
    <mergeCell ref="I28:J28"/>
    <mergeCell ref="I29:J29"/>
    <mergeCell ref="I31:J31"/>
    <mergeCell ref="I13:J13"/>
    <mergeCell ref="I22:J22"/>
    <mergeCell ref="I23:J23"/>
    <mergeCell ref="I25:J25"/>
    <mergeCell ref="E17:H17"/>
    <mergeCell ref="D96:H96"/>
    <mergeCell ref="I3:J3"/>
    <mergeCell ref="I117:J117"/>
    <mergeCell ref="I4:J4"/>
    <mergeCell ref="I5:J5"/>
    <mergeCell ref="I8:J8"/>
    <mergeCell ref="I9:J9"/>
    <mergeCell ref="I10:J10"/>
    <mergeCell ref="I11:J11"/>
  </mergeCells>
  <printOptions horizontalCentered="1"/>
  <pageMargins left="0.5511811023622047" right="0.5118110236220472" top="0.8" bottom="0.5" header="0.2755905511811024" footer="0.26"/>
  <pageSetup orientation="portrait" paperSize="9" r:id="rId1"/>
  <headerFooter alignWithMargins="0">
    <oddHeader>&amp;R&amp;"Arial,Pogrubiony"&amp;9Załącznik Nr &amp;A&amp;"Arial,Normalny"
do Uchwały Rady Gminy Miłkowice Nr XLIV/243/2009
z dnia 22 grudnia 2009 roku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/>
  <dimension ref="A1:M110"/>
  <sheetViews>
    <sheetView zoomScale="83" zoomScaleNormal="83" workbookViewId="0" topLeftCell="B87">
      <selection activeCell="I29" sqref="I29"/>
    </sheetView>
  </sheetViews>
  <sheetFormatPr defaultColWidth="9.33203125" defaultRowHeight="18.75" customHeight="1"/>
  <cols>
    <col min="1" max="1" width="5" style="187" customWidth="1"/>
    <col min="2" max="2" width="57.66015625" style="187" customWidth="1"/>
    <col min="3" max="3" width="12.83203125" style="187" customWidth="1"/>
    <col min="4" max="4" width="14.66015625" style="188" customWidth="1"/>
    <col min="5" max="5" width="16.66015625" style="187" bestFit="1" customWidth="1"/>
    <col min="6" max="6" width="13.66015625" style="187" customWidth="1"/>
    <col min="7" max="7" width="17.33203125" style="187" customWidth="1"/>
    <col min="8" max="8" width="16.16015625" style="187" customWidth="1"/>
    <col min="9" max="9" width="14.83203125" style="187" customWidth="1"/>
    <col min="10" max="10" width="11.66015625" style="187" hidden="1" customWidth="1"/>
    <col min="11" max="11" width="16.66015625" style="187" customWidth="1"/>
    <col min="12" max="12" width="16" style="187" customWidth="1"/>
    <col min="13" max="13" width="4.83203125" style="187" customWidth="1"/>
    <col min="14" max="16384" width="7.83203125" style="187" customWidth="1"/>
  </cols>
  <sheetData>
    <row r="1" spans="1:13" s="35" customFormat="1" ht="21" customHeight="1">
      <c r="A1" s="368" t="s">
        <v>293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4"/>
    </row>
    <row r="2" spans="2:13" s="36" customFormat="1" ht="12" customHeight="1" thickBot="1">
      <c r="B2" s="37"/>
      <c r="D2" s="37"/>
      <c r="L2" s="38" t="s">
        <v>294</v>
      </c>
      <c r="M2" s="39"/>
    </row>
    <row r="3" spans="1:13" s="41" customFormat="1" ht="14.25" customHeight="1">
      <c r="A3" s="405" t="s">
        <v>295</v>
      </c>
      <c r="B3" s="407" t="s">
        <v>296</v>
      </c>
      <c r="C3" s="407" t="s">
        <v>297</v>
      </c>
      <c r="D3" s="401" t="s">
        <v>298</v>
      </c>
      <c r="E3" s="407" t="s">
        <v>299</v>
      </c>
      <c r="F3" s="365" t="s">
        <v>300</v>
      </c>
      <c r="G3" s="366"/>
      <c r="H3" s="366"/>
      <c r="I3" s="367"/>
      <c r="J3" s="40"/>
      <c r="K3" s="40"/>
      <c r="L3" s="369" t="s">
        <v>301</v>
      </c>
      <c r="M3" s="39"/>
    </row>
    <row r="4" spans="1:13" s="41" customFormat="1" ht="14.25" customHeight="1">
      <c r="A4" s="406"/>
      <c r="B4" s="408"/>
      <c r="C4" s="408"/>
      <c r="D4" s="402"/>
      <c r="E4" s="408"/>
      <c r="F4" s="357" t="s">
        <v>302</v>
      </c>
      <c r="G4" s="357" t="s">
        <v>303</v>
      </c>
      <c r="H4" s="357"/>
      <c r="I4" s="357"/>
      <c r="J4" s="42"/>
      <c r="K4" s="42"/>
      <c r="L4" s="355"/>
      <c r="M4" s="39"/>
    </row>
    <row r="5" spans="1:13" s="41" customFormat="1" ht="14.25" customHeight="1">
      <c r="A5" s="406"/>
      <c r="B5" s="408"/>
      <c r="C5" s="408"/>
      <c r="D5" s="402"/>
      <c r="E5" s="408"/>
      <c r="F5" s="358"/>
      <c r="G5" s="393" t="s">
        <v>304</v>
      </c>
      <c r="H5" s="393" t="s">
        <v>305</v>
      </c>
      <c r="I5" s="393" t="s">
        <v>306</v>
      </c>
      <c r="J5" s="43" t="s">
        <v>307</v>
      </c>
      <c r="K5" s="393" t="s">
        <v>308</v>
      </c>
      <c r="L5" s="355"/>
      <c r="M5" s="39"/>
    </row>
    <row r="6" spans="1:13" s="41" customFormat="1" ht="14.25" customHeight="1">
      <c r="A6" s="406"/>
      <c r="B6" s="408"/>
      <c r="C6" s="408"/>
      <c r="D6" s="402"/>
      <c r="E6" s="408"/>
      <c r="F6" s="358"/>
      <c r="G6" s="394"/>
      <c r="H6" s="394"/>
      <c r="I6" s="394"/>
      <c r="J6" s="44"/>
      <c r="K6" s="394"/>
      <c r="L6" s="355"/>
      <c r="M6" s="39"/>
    </row>
    <row r="7" spans="1:13" s="41" customFormat="1" ht="15" customHeight="1">
      <c r="A7" s="406"/>
      <c r="B7" s="408"/>
      <c r="C7" s="408"/>
      <c r="D7" s="402"/>
      <c r="E7" s="408"/>
      <c r="F7" s="358"/>
      <c r="G7" s="394"/>
      <c r="H7" s="394"/>
      <c r="I7" s="394"/>
      <c r="J7" s="44"/>
      <c r="K7" s="395"/>
      <c r="L7" s="356"/>
      <c r="M7" s="39"/>
    </row>
    <row r="8" spans="1:13" s="51" customFormat="1" ht="10.5" customHeight="1" thickBot="1">
      <c r="A8" s="45">
        <v>1</v>
      </c>
      <c r="B8" s="46">
        <v>2</v>
      </c>
      <c r="C8" s="46">
        <v>3</v>
      </c>
      <c r="D8" s="47">
        <v>4</v>
      </c>
      <c r="E8" s="46">
        <v>5</v>
      </c>
      <c r="F8" s="46">
        <v>6</v>
      </c>
      <c r="G8" s="48">
        <v>7</v>
      </c>
      <c r="H8" s="48">
        <v>8</v>
      </c>
      <c r="I8" s="48">
        <v>9</v>
      </c>
      <c r="J8" s="48">
        <v>10</v>
      </c>
      <c r="K8" s="48">
        <v>10</v>
      </c>
      <c r="L8" s="49">
        <v>11</v>
      </c>
      <c r="M8" s="50"/>
    </row>
    <row r="9" spans="1:13" s="57" customFormat="1" ht="18" customHeight="1" thickBot="1">
      <c r="A9" s="375" t="s">
        <v>309</v>
      </c>
      <c r="B9" s="376"/>
      <c r="C9" s="376"/>
      <c r="D9" s="53">
        <f aca="true" t="shared" si="0" ref="D9:J9">D10</f>
        <v>11244300</v>
      </c>
      <c r="E9" s="53">
        <f t="shared" si="0"/>
        <v>407020</v>
      </c>
      <c r="F9" s="53">
        <f t="shared" si="0"/>
        <v>0</v>
      </c>
      <c r="G9" s="53">
        <f t="shared" si="0"/>
        <v>143620</v>
      </c>
      <c r="H9" s="53">
        <f t="shared" si="0"/>
        <v>211000</v>
      </c>
      <c r="I9" s="53">
        <f t="shared" si="0"/>
        <v>52400</v>
      </c>
      <c r="J9" s="53">
        <f t="shared" si="0"/>
        <v>0</v>
      </c>
      <c r="K9" s="54"/>
      <c r="L9" s="55"/>
      <c r="M9" s="56"/>
    </row>
    <row r="10" spans="1:13" s="57" customFormat="1" ht="21.75" customHeight="1" thickBot="1">
      <c r="A10" s="370" t="s">
        <v>310</v>
      </c>
      <c r="B10" s="371"/>
      <c r="C10" s="371"/>
      <c r="D10" s="58">
        <f>SUM(D11:D19)</f>
        <v>11244300</v>
      </c>
      <c r="E10" s="58">
        <f>E11+E12+E13+E14+E15+E16+E18+E19</f>
        <v>407020</v>
      </c>
      <c r="F10" s="58">
        <f>SUM(F11:F19)</f>
        <v>0</v>
      </c>
      <c r="G10" s="58">
        <f>SUM(G11:G19)</f>
        <v>143620</v>
      </c>
      <c r="H10" s="58">
        <f>SUM(H11:H19)</f>
        <v>211000</v>
      </c>
      <c r="I10" s="58">
        <f>SUM(I11:I19)</f>
        <v>52400</v>
      </c>
      <c r="J10" s="58">
        <f>SUM(J12:J12)</f>
        <v>0</v>
      </c>
      <c r="K10" s="59"/>
      <c r="L10" s="60"/>
      <c r="M10" s="56"/>
    </row>
    <row r="11" spans="1:13" s="57" customFormat="1" ht="39" thickTop="1">
      <c r="A11" s="61">
        <v>1</v>
      </c>
      <c r="B11" s="62" t="s">
        <v>311</v>
      </c>
      <c r="C11" s="63" t="s">
        <v>312</v>
      </c>
      <c r="D11" s="64">
        <v>4856600</v>
      </c>
      <c r="E11" s="64">
        <f>SUM(F11,G11,H11,I11,K11)</f>
        <v>16000</v>
      </c>
      <c r="F11" s="65"/>
      <c r="G11" s="64">
        <v>16000</v>
      </c>
      <c r="H11" s="66"/>
      <c r="I11" s="66"/>
      <c r="J11" s="64"/>
      <c r="K11" s="67"/>
      <c r="L11" s="354" t="s">
        <v>313</v>
      </c>
      <c r="M11" s="56"/>
    </row>
    <row r="12" spans="1:13" s="57" customFormat="1" ht="25.5">
      <c r="A12" s="61">
        <v>2</v>
      </c>
      <c r="B12" s="69" t="s">
        <v>314</v>
      </c>
      <c r="C12" s="63" t="s">
        <v>312</v>
      </c>
      <c r="D12" s="70">
        <f>5117000+10700</f>
        <v>5127700</v>
      </c>
      <c r="E12" s="70">
        <f>SUM(F12,G12,H12,I12,K12)</f>
        <v>120700</v>
      </c>
      <c r="F12" s="65"/>
      <c r="G12" s="70">
        <v>700</v>
      </c>
      <c r="H12" s="70">
        <v>120000</v>
      </c>
      <c r="I12" s="71"/>
      <c r="J12" s="70"/>
      <c r="K12" s="67"/>
      <c r="L12" s="409"/>
      <c r="M12" s="56"/>
    </row>
    <row r="13" spans="1:13" s="57" customFormat="1" ht="22.5" customHeight="1">
      <c r="A13" s="72">
        <v>3</v>
      </c>
      <c r="B13" s="73" t="s">
        <v>315</v>
      </c>
      <c r="C13" s="74" t="s">
        <v>316</v>
      </c>
      <c r="D13" s="75">
        <f>20000+16000+E13</f>
        <v>86000</v>
      </c>
      <c r="E13" s="76">
        <f>SUM(F13,G13,H13,I13,K13)</f>
        <v>50000</v>
      </c>
      <c r="F13" s="77" t="s">
        <v>317</v>
      </c>
      <c r="G13" s="75">
        <v>50000</v>
      </c>
      <c r="H13" s="78"/>
      <c r="I13" s="76"/>
      <c r="J13" s="76"/>
      <c r="K13" s="79"/>
      <c r="L13" s="410" t="s">
        <v>318</v>
      </c>
      <c r="M13" s="56"/>
    </row>
    <row r="14" spans="1:13" s="57" customFormat="1" ht="22.5" customHeight="1">
      <c r="A14" s="80">
        <v>4</v>
      </c>
      <c r="B14" s="69" t="s">
        <v>319</v>
      </c>
      <c r="C14" s="81" t="s">
        <v>320</v>
      </c>
      <c r="D14" s="78">
        <f>110000+5000+E14+54680</f>
        <v>175000</v>
      </c>
      <c r="E14" s="70">
        <f>SUM(F14,G14,F16,I14,K14)</f>
        <v>5320</v>
      </c>
      <c r="F14" s="77" t="s">
        <v>321</v>
      </c>
      <c r="G14" s="78">
        <f>60000+21000-54680-21000</f>
        <v>5320</v>
      </c>
      <c r="I14" s="70"/>
      <c r="J14" s="70"/>
      <c r="K14" s="79"/>
      <c r="L14" s="354"/>
      <c r="M14" s="56"/>
    </row>
    <row r="15" spans="1:13" s="57" customFormat="1" ht="21" customHeight="1">
      <c r="A15" s="80">
        <v>5</v>
      </c>
      <c r="B15" s="69" t="s">
        <v>322</v>
      </c>
      <c r="C15" s="81" t="s">
        <v>316</v>
      </c>
      <c r="D15" s="78">
        <f>3000+E15+11000</f>
        <v>178000</v>
      </c>
      <c r="E15" s="70">
        <f>SUM(F15,G15,H15,I15,K15)</f>
        <v>164000</v>
      </c>
      <c r="F15" s="77" t="s">
        <v>323</v>
      </c>
      <c r="G15" s="70">
        <v>49600</v>
      </c>
      <c r="H15" s="70">
        <v>85400</v>
      </c>
      <c r="I15" s="70">
        <v>29000</v>
      </c>
      <c r="J15" s="70"/>
      <c r="K15" s="82" t="s">
        <v>324</v>
      </c>
      <c r="L15" s="354"/>
      <c r="M15" s="56"/>
    </row>
    <row r="16" spans="1:13" s="57" customFormat="1" ht="24" customHeight="1">
      <c r="A16" s="80">
        <v>6</v>
      </c>
      <c r="B16" s="69" t="s">
        <v>325</v>
      </c>
      <c r="C16" s="81" t="s">
        <v>326</v>
      </c>
      <c r="D16" s="78">
        <v>36000</v>
      </c>
      <c r="E16" s="70">
        <f>SUM(F16,G16,H16,I16,K16)</f>
        <v>0</v>
      </c>
      <c r="F16" s="77"/>
      <c r="G16" s="70"/>
      <c r="H16" s="70"/>
      <c r="I16" s="70"/>
      <c r="J16" s="70"/>
      <c r="K16" s="82"/>
      <c r="L16" s="354"/>
      <c r="M16" s="56"/>
    </row>
    <row r="17" spans="1:13" s="57" customFormat="1" ht="14.25" hidden="1">
      <c r="A17" s="80">
        <v>7</v>
      </c>
      <c r="B17" s="69" t="s">
        <v>327</v>
      </c>
      <c r="C17" s="83">
        <v>2009</v>
      </c>
      <c r="D17" s="78">
        <f>E17</f>
        <v>0</v>
      </c>
      <c r="E17" s="70">
        <f>SUM(F17,G17,H17,I17,K17)</f>
        <v>0</v>
      </c>
      <c r="F17" s="77"/>
      <c r="G17" s="70"/>
      <c r="H17" s="70"/>
      <c r="I17" s="70"/>
      <c r="J17" s="70"/>
      <c r="K17" s="82"/>
      <c r="L17" s="409"/>
      <c r="M17" s="56"/>
    </row>
    <row r="18" spans="1:13" s="57" customFormat="1" ht="38.25">
      <c r="A18" s="80">
        <v>7</v>
      </c>
      <c r="B18" s="69" t="s">
        <v>328</v>
      </c>
      <c r="C18" s="63">
        <v>2009</v>
      </c>
      <c r="D18" s="70">
        <f>E18</f>
        <v>29000</v>
      </c>
      <c r="E18" s="70">
        <f>SUM(F18,G18,H18,I18,K18)</f>
        <v>29000</v>
      </c>
      <c r="F18" s="70"/>
      <c r="G18" s="70"/>
      <c r="H18" s="70">
        <f>29000-I18</f>
        <v>5600</v>
      </c>
      <c r="I18" s="70">
        <v>23400</v>
      </c>
      <c r="J18" s="70"/>
      <c r="K18" s="67" t="s">
        <v>329</v>
      </c>
      <c r="L18" s="84" t="s">
        <v>313</v>
      </c>
      <c r="M18" s="56"/>
    </row>
    <row r="19" spans="1:13" s="57" customFormat="1" ht="27" customHeight="1" thickBot="1">
      <c r="A19" s="80">
        <v>8</v>
      </c>
      <c r="B19" s="85" t="s">
        <v>330</v>
      </c>
      <c r="C19" s="81" t="s">
        <v>312</v>
      </c>
      <c r="D19" s="78">
        <v>756000</v>
      </c>
      <c r="E19" s="70">
        <f>SUM(F19,G19,H19,I19,K19)</f>
        <v>22000</v>
      </c>
      <c r="F19" s="77" t="s">
        <v>331</v>
      </c>
      <c r="G19" s="78">
        <v>22000</v>
      </c>
      <c r="H19" s="65"/>
      <c r="I19" s="70"/>
      <c r="J19" s="70"/>
      <c r="K19" s="82"/>
      <c r="L19" s="86" t="s">
        <v>332</v>
      </c>
      <c r="M19" s="56"/>
    </row>
    <row r="20" spans="1:13" s="57" customFormat="1" ht="18" customHeight="1" thickBot="1">
      <c r="A20" s="375" t="s">
        <v>333</v>
      </c>
      <c r="B20" s="376"/>
      <c r="C20" s="376"/>
      <c r="D20" s="53">
        <f aca="true" t="shared" si="1" ref="D20:I20">D21</f>
        <v>4043813</v>
      </c>
      <c r="E20" s="53">
        <f t="shared" si="1"/>
        <v>1439254</v>
      </c>
      <c r="F20" s="53">
        <f t="shared" si="1"/>
        <v>0</v>
      </c>
      <c r="G20" s="53">
        <f t="shared" si="1"/>
        <v>866350</v>
      </c>
      <c r="H20" s="53">
        <f t="shared" si="1"/>
        <v>0</v>
      </c>
      <c r="I20" s="53">
        <f t="shared" si="1"/>
        <v>572904</v>
      </c>
      <c r="J20" s="53" t="e">
        <f>J21+#REF!</f>
        <v>#REF!</v>
      </c>
      <c r="K20" s="54"/>
      <c r="L20" s="87"/>
      <c r="M20" s="56"/>
    </row>
    <row r="21" spans="1:13" s="57" customFormat="1" ht="20.25" customHeight="1" thickBot="1">
      <c r="A21" s="370" t="s">
        <v>334</v>
      </c>
      <c r="B21" s="371"/>
      <c r="C21" s="371"/>
      <c r="D21" s="58">
        <f>D22+D23+D24+D25+D26+D27+D28+D29+D30</f>
        <v>4043813</v>
      </c>
      <c r="E21" s="58">
        <f>E22+E23+E24+E25+E26+E27+E28+E29+E30</f>
        <v>1439254</v>
      </c>
      <c r="F21" s="58"/>
      <c r="G21" s="58">
        <f>G22+G23+G24+G25+G26+G27+G28+G29+G30</f>
        <v>866350</v>
      </c>
      <c r="H21" s="58">
        <f>H22+H23+H24+H25+H26+H27+H28+H29+H30</f>
        <v>0</v>
      </c>
      <c r="I21" s="58">
        <f>I22+I23+I24+I25+I26+I27+I28+I29+I30</f>
        <v>572904</v>
      </c>
      <c r="J21" s="58">
        <f>SUM(J22:J30)</f>
        <v>0</v>
      </c>
      <c r="K21" s="59"/>
      <c r="L21" s="88"/>
      <c r="M21" s="56"/>
    </row>
    <row r="22" spans="1:13" s="57" customFormat="1" ht="21.75" customHeight="1" thickTop="1">
      <c r="A22" s="61">
        <v>9</v>
      </c>
      <c r="B22" s="89" t="s">
        <v>335</v>
      </c>
      <c r="C22" s="63" t="s">
        <v>336</v>
      </c>
      <c r="D22" s="64">
        <v>308000</v>
      </c>
      <c r="E22" s="70">
        <f>SUM(F22,G22,H22,I22,L14)</f>
        <v>14720</v>
      </c>
      <c r="F22" s="65"/>
      <c r="G22" s="64">
        <f>115000-100280</f>
        <v>14720</v>
      </c>
      <c r="H22" s="64"/>
      <c r="I22" s="64"/>
      <c r="J22" s="64"/>
      <c r="K22" s="64"/>
      <c r="L22" s="410" t="s">
        <v>313</v>
      </c>
      <c r="M22" s="56"/>
    </row>
    <row r="23" spans="1:13" s="57" customFormat="1" ht="21.75" customHeight="1">
      <c r="A23" s="80">
        <v>10</v>
      </c>
      <c r="B23" s="90" t="s">
        <v>337</v>
      </c>
      <c r="C23" s="81" t="s">
        <v>320</v>
      </c>
      <c r="D23" s="78">
        <v>1191000</v>
      </c>
      <c r="E23" s="70">
        <f>SUM(F23,G23,H23,I23,L16)</f>
        <v>23730</v>
      </c>
      <c r="F23" s="70"/>
      <c r="G23" s="70">
        <f>30000-6270</f>
        <v>23730</v>
      </c>
      <c r="H23" s="70"/>
      <c r="I23" s="70"/>
      <c r="J23" s="70"/>
      <c r="K23" s="70"/>
      <c r="L23" s="354"/>
      <c r="M23" s="56"/>
    </row>
    <row r="24" spans="1:13" s="57" customFormat="1" ht="21.75" customHeight="1">
      <c r="A24" s="61">
        <v>11</v>
      </c>
      <c r="B24" s="89" t="s">
        <v>338</v>
      </c>
      <c r="C24" s="63">
        <v>2009</v>
      </c>
      <c r="D24" s="64">
        <f>E24</f>
        <v>12000</v>
      </c>
      <c r="E24" s="70">
        <f>SUM(F24,G24,H24,I24,L19)</f>
        <v>12000</v>
      </c>
      <c r="F24" s="64"/>
      <c r="G24" s="64">
        <v>12000</v>
      </c>
      <c r="H24" s="64"/>
      <c r="I24" s="64"/>
      <c r="J24" s="64"/>
      <c r="K24" s="64"/>
      <c r="L24" s="354"/>
      <c r="M24" s="56"/>
    </row>
    <row r="25" spans="1:13" s="57" customFormat="1" ht="21.75" customHeight="1">
      <c r="A25" s="61">
        <v>12</v>
      </c>
      <c r="B25" s="89" t="s">
        <v>339</v>
      </c>
      <c r="C25" s="91">
        <v>2009</v>
      </c>
      <c r="D25" s="64">
        <f>E25</f>
        <v>50000</v>
      </c>
      <c r="E25" s="70">
        <f>SUM(F25,G25,H25,I25,L20)</f>
        <v>50000</v>
      </c>
      <c r="F25" s="64"/>
      <c r="G25" s="92">
        <v>2000</v>
      </c>
      <c r="H25" s="64"/>
      <c r="I25" s="64">
        <v>48000</v>
      </c>
      <c r="J25" s="64"/>
      <c r="K25" s="93" t="s">
        <v>340</v>
      </c>
      <c r="L25" s="354"/>
      <c r="M25" s="56"/>
    </row>
    <row r="26" spans="1:13" s="57" customFormat="1" ht="21.75" customHeight="1">
      <c r="A26" s="61">
        <v>13</v>
      </c>
      <c r="B26" s="90" t="s">
        <v>341</v>
      </c>
      <c r="C26" s="94">
        <v>2009</v>
      </c>
      <c r="D26" s="64">
        <f>E26</f>
        <v>65000</v>
      </c>
      <c r="E26" s="64">
        <f>SUM(F26,G26,H26,I26,K39)</f>
        <v>65000</v>
      </c>
      <c r="F26" s="95"/>
      <c r="G26" s="92">
        <f>5000+10000+50000</f>
        <v>65000</v>
      </c>
      <c r="H26" s="64"/>
      <c r="I26" s="66"/>
      <c r="J26" s="64"/>
      <c r="K26" s="93"/>
      <c r="L26" s="354"/>
      <c r="M26" s="56"/>
    </row>
    <row r="27" spans="1:13" s="57" customFormat="1" ht="21.75" customHeight="1">
      <c r="A27" s="61">
        <v>14</v>
      </c>
      <c r="B27" s="90" t="s">
        <v>342</v>
      </c>
      <c r="C27" s="94" t="s">
        <v>316</v>
      </c>
      <c r="D27" s="64">
        <f>500+80000</f>
        <v>80500</v>
      </c>
      <c r="E27" s="64">
        <f>SUM(F27,G27,H27,I27,K40)</f>
        <v>66000</v>
      </c>
      <c r="F27" s="95"/>
      <c r="G27" s="92">
        <f>50000+30000-14000</f>
        <v>66000</v>
      </c>
      <c r="H27" s="64"/>
      <c r="I27" s="66"/>
      <c r="J27" s="64"/>
      <c r="K27" s="93"/>
      <c r="L27" s="354"/>
      <c r="M27" s="56"/>
    </row>
    <row r="28" spans="1:13" s="57" customFormat="1" ht="21.75" customHeight="1">
      <c r="A28" s="61">
        <v>15</v>
      </c>
      <c r="B28" s="90" t="s">
        <v>343</v>
      </c>
      <c r="C28" s="94" t="s">
        <v>344</v>
      </c>
      <c r="D28" s="64">
        <v>1496900</v>
      </c>
      <c r="E28" s="70">
        <f>SUM(F28,G28,H28,I28,L23)</f>
        <v>409204</v>
      </c>
      <c r="F28" s="95"/>
      <c r="G28" s="92">
        <f>9600+1700+5000</f>
        <v>16300</v>
      </c>
      <c r="H28" s="64"/>
      <c r="I28" s="64">
        <f>212904+180000</f>
        <v>392904</v>
      </c>
      <c r="J28" s="64"/>
      <c r="K28" s="93" t="s">
        <v>340</v>
      </c>
      <c r="L28" s="354"/>
      <c r="M28" s="56"/>
    </row>
    <row r="29" spans="1:13" s="57" customFormat="1" ht="24.75" customHeight="1" thickBot="1">
      <c r="A29" s="61">
        <v>16</v>
      </c>
      <c r="B29" s="89" t="s">
        <v>345</v>
      </c>
      <c r="C29" s="94" t="s">
        <v>316</v>
      </c>
      <c r="D29" s="64">
        <f>4000+30+427+36600+200+30+46+480+E29</f>
        <v>840413</v>
      </c>
      <c r="E29" s="64">
        <f>SUM(F29,G29,H29,I29,K29)</f>
        <v>798600</v>
      </c>
      <c r="F29" s="95"/>
      <c r="G29" s="92">
        <f>790680+7907+13-I29</f>
        <v>666600</v>
      </c>
      <c r="H29" s="64"/>
      <c r="I29" s="64">
        <f>132000</f>
        <v>132000</v>
      </c>
      <c r="J29" s="64"/>
      <c r="K29" s="93" t="s">
        <v>340</v>
      </c>
      <c r="L29" s="409"/>
      <c r="M29" s="56"/>
    </row>
    <row r="30" spans="1:13" s="57" customFormat="1" ht="21.75" customHeight="1" hidden="1" thickBot="1">
      <c r="A30" s="102">
        <v>17</v>
      </c>
      <c r="B30" s="103" t="s">
        <v>346</v>
      </c>
      <c r="C30" s="104">
        <v>2009</v>
      </c>
      <c r="D30" s="105">
        <f>E30</f>
        <v>0</v>
      </c>
      <c r="E30" s="105">
        <f>SUM(F30,G30,H30,I30,K30)</f>
        <v>0</v>
      </c>
      <c r="F30" s="106"/>
      <c r="G30" s="107"/>
      <c r="H30" s="105"/>
      <c r="I30" s="108"/>
      <c r="J30" s="105"/>
      <c r="K30" s="109"/>
      <c r="L30" s="68" t="s">
        <v>313</v>
      </c>
      <c r="M30" s="56"/>
    </row>
    <row r="31" spans="1:13" s="57" customFormat="1" ht="17.25" customHeight="1" thickBot="1">
      <c r="A31" s="396" t="s">
        <v>347</v>
      </c>
      <c r="B31" s="397"/>
      <c r="C31" s="398"/>
      <c r="D31" s="53">
        <f aca="true" t="shared" si="2" ref="D31:J31">D32</f>
        <v>500000</v>
      </c>
      <c r="E31" s="53">
        <f t="shared" si="2"/>
        <v>42391</v>
      </c>
      <c r="F31" s="53">
        <f t="shared" si="2"/>
        <v>0</v>
      </c>
      <c r="G31" s="54">
        <f t="shared" si="2"/>
        <v>36391</v>
      </c>
      <c r="H31" s="53">
        <f t="shared" si="2"/>
        <v>6000</v>
      </c>
      <c r="I31" s="53">
        <f t="shared" si="2"/>
        <v>0</v>
      </c>
      <c r="J31" s="53">
        <f t="shared" si="2"/>
        <v>0</v>
      </c>
      <c r="K31" s="54"/>
      <c r="L31" s="110"/>
      <c r="M31" s="56"/>
    </row>
    <row r="32" spans="1:13" s="57" customFormat="1" ht="21" customHeight="1" thickBot="1">
      <c r="A32" s="372" t="s">
        <v>348</v>
      </c>
      <c r="B32" s="373"/>
      <c r="C32" s="374"/>
      <c r="D32" s="58">
        <f aca="true" t="shared" si="3" ref="D32:J32">SUM(D33:D34)</f>
        <v>500000</v>
      </c>
      <c r="E32" s="58">
        <f t="shared" si="3"/>
        <v>42391</v>
      </c>
      <c r="F32" s="58">
        <f t="shared" si="3"/>
        <v>0</v>
      </c>
      <c r="G32" s="58">
        <f t="shared" si="3"/>
        <v>36391</v>
      </c>
      <c r="H32" s="58">
        <f t="shared" si="3"/>
        <v>6000</v>
      </c>
      <c r="I32" s="58">
        <f t="shared" si="3"/>
        <v>0</v>
      </c>
      <c r="J32" s="58">
        <f t="shared" si="3"/>
        <v>0</v>
      </c>
      <c r="K32" s="59"/>
      <c r="L32" s="60"/>
      <c r="M32" s="56"/>
    </row>
    <row r="33" spans="1:13" s="57" customFormat="1" ht="20.25" customHeight="1" thickTop="1">
      <c r="A33" s="61">
        <v>17</v>
      </c>
      <c r="B33" s="62" t="s">
        <v>349</v>
      </c>
      <c r="C33" s="111" t="s">
        <v>312</v>
      </c>
      <c r="D33" s="64">
        <v>500000</v>
      </c>
      <c r="E33" s="64">
        <f>SUM(F33,G33,H33,I33,L31)</f>
        <v>42391</v>
      </c>
      <c r="F33" s="64"/>
      <c r="G33" s="92">
        <f>34400+1760+6231-6000</f>
        <v>36391</v>
      </c>
      <c r="H33" s="64">
        <v>6000</v>
      </c>
      <c r="I33" s="64"/>
      <c r="J33" s="92"/>
      <c r="K33" s="67"/>
      <c r="L33" s="121" t="s">
        <v>560</v>
      </c>
      <c r="M33" s="56"/>
    </row>
    <row r="34" spans="1:13" s="57" customFormat="1" ht="24.75" customHeight="1" hidden="1" thickBot="1">
      <c r="A34" s="112">
        <v>18</v>
      </c>
      <c r="B34" s="113" t="s">
        <v>350</v>
      </c>
      <c r="C34" s="114">
        <v>2009</v>
      </c>
      <c r="D34" s="115">
        <f>E34</f>
        <v>0</v>
      </c>
      <c r="E34" s="115">
        <f>SUM(F34,G34,H34,I34,L32)</f>
        <v>0</v>
      </c>
      <c r="F34" s="65"/>
      <c r="G34" s="116">
        <v>0</v>
      </c>
      <c r="H34" s="115"/>
      <c r="I34" s="115"/>
      <c r="J34" s="116"/>
      <c r="K34" s="116"/>
      <c r="L34" s="123"/>
      <c r="M34" s="56"/>
    </row>
    <row r="35" spans="2:13" s="36" customFormat="1" ht="10.5" customHeight="1" thickBot="1">
      <c r="B35" s="37"/>
      <c r="D35" s="37"/>
      <c r="L35" s="38"/>
      <c r="M35" s="39"/>
    </row>
    <row r="36" spans="1:13" s="41" customFormat="1" ht="14.25" customHeight="1">
      <c r="A36" s="405" t="s">
        <v>295</v>
      </c>
      <c r="B36" s="407" t="s">
        <v>296</v>
      </c>
      <c r="C36" s="407" t="s">
        <v>297</v>
      </c>
      <c r="D36" s="401" t="s">
        <v>298</v>
      </c>
      <c r="E36" s="407" t="s">
        <v>299</v>
      </c>
      <c r="F36" s="365" t="s">
        <v>300</v>
      </c>
      <c r="G36" s="366"/>
      <c r="H36" s="366"/>
      <c r="I36" s="367"/>
      <c r="J36" s="40"/>
      <c r="K36" s="40"/>
      <c r="L36" s="369" t="s">
        <v>301</v>
      </c>
      <c r="M36" s="39"/>
    </row>
    <row r="37" spans="1:13" s="41" customFormat="1" ht="14.25" customHeight="1">
      <c r="A37" s="406"/>
      <c r="B37" s="408"/>
      <c r="C37" s="408"/>
      <c r="D37" s="402"/>
      <c r="E37" s="408"/>
      <c r="F37" s="357" t="s">
        <v>302</v>
      </c>
      <c r="G37" s="357" t="s">
        <v>303</v>
      </c>
      <c r="H37" s="357"/>
      <c r="I37" s="357"/>
      <c r="J37" s="42"/>
      <c r="K37" s="42"/>
      <c r="L37" s="355"/>
      <c r="M37" s="39"/>
    </row>
    <row r="38" spans="1:13" s="41" customFormat="1" ht="14.25" customHeight="1">
      <c r="A38" s="406"/>
      <c r="B38" s="408"/>
      <c r="C38" s="408"/>
      <c r="D38" s="402"/>
      <c r="E38" s="408"/>
      <c r="F38" s="358"/>
      <c r="G38" s="393" t="s">
        <v>304</v>
      </c>
      <c r="H38" s="393" t="s">
        <v>305</v>
      </c>
      <c r="I38" s="393" t="s">
        <v>306</v>
      </c>
      <c r="J38" s="43" t="s">
        <v>307</v>
      </c>
      <c r="K38" s="393" t="s">
        <v>308</v>
      </c>
      <c r="L38" s="355"/>
      <c r="M38" s="39"/>
    </row>
    <row r="39" spans="1:13" s="41" customFormat="1" ht="14.25" customHeight="1">
      <c r="A39" s="406"/>
      <c r="B39" s="408"/>
      <c r="C39" s="408"/>
      <c r="D39" s="402"/>
      <c r="E39" s="408"/>
      <c r="F39" s="358"/>
      <c r="G39" s="394"/>
      <c r="H39" s="394"/>
      <c r="I39" s="394"/>
      <c r="J39" s="44"/>
      <c r="K39" s="394"/>
      <c r="L39" s="355"/>
      <c r="M39" s="39"/>
    </row>
    <row r="40" spans="1:13" s="41" customFormat="1" ht="15" customHeight="1" thickBot="1">
      <c r="A40" s="406"/>
      <c r="B40" s="408"/>
      <c r="C40" s="408"/>
      <c r="D40" s="402"/>
      <c r="E40" s="408"/>
      <c r="F40" s="358"/>
      <c r="G40" s="394"/>
      <c r="H40" s="394"/>
      <c r="I40" s="394"/>
      <c r="J40" s="44"/>
      <c r="K40" s="395"/>
      <c r="L40" s="356"/>
      <c r="M40" s="39"/>
    </row>
    <row r="41" spans="1:13" s="51" customFormat="1" ht="10.5" customHeight="1" thickBot="1">
      <c r="A41" s="96">
        <v>1</v>
      </c>
      <c r="B41" s="97">
        <v>2</v>
      </c>
      <c r="C41" s="97">
        <v>3</v>
      </c>
      <c r="D41" s="98">
        <v>4</v>
      </c>
      <c r="E41" s="97">
        <v>5</v>
      </c>
      <c r="F41" s="97">
        <v>6</v>
      </c>
      <c r="G41" s="99">
        <v>7</v>
      </c>
      <c r="H41" s="99">
        <v>8</v>
      </c>
      <c r="I41" s="99">
        <v>9</v>
      </c>
      <c r="J41" s="99">
        <v>10</v>
      </c>
      <c r="K41" s="100">
        <v>10</v>
      </c>
      <c r="L41" s="101">
        <v>11</v>
      </c>
      <c r="M41" s="50"/>
    </row>
    <row r="42" spans="1:13" s="57" customFormat="1" ht="30" customHeight="1" thickBot="1">
      <c r="A42" s="396" t="s">
        <v>351</v>
      </c>
      <c r="B42" s="397"/>
      <c r="C42" s="398"/>
      <c r="D42" s="118">
        <f aca="true" t="shared" si="4" ref="D42:I42">D45+D43+D50</f>
        <v>432378.96</v>
      </c>
      <c r="E42" s="118">
        <f t="shared" si="4"/>
        <v>125478.96</v>
      </c>
      <c r="F42" s="53">
        <f t="shared" si="4"/>
        <v>0</v>
      </c>
      <c r="G42" s="118">
        <f t="shared" si="4"/>
        <v>101502.96</v>
      </c>
      <c r="H42" s="53">
        <f t="shared" si="4"/>
        <v>22000</v>
      </c>
      <c r="I42" s="118">
        <f t="shared" si="4"/>
        <v>12976</v>
      </c>
      <c r="J42" s="53">
        <f>J45+J43</f>
        <v>0</v>
      </c>
      <c r="K42" s="54"/>
      <c r="L42" s="110"/>
      <c r="M42" s="56"/>
    </row>
    <row r="43" spans="1:13" s="57" customFormat="1" ht="18.75" customHeight="1" hidden="1" thickBot="1">
      <c r="A43" s="370" t="s">
        <v>352</v>
      </c>
      <c r="B43" s="371"/>
      <c r="C43" s="371"/>
      <c r="D43" s="58">
        <f>D44</f>
        <v>0</v>
      </c>
      <c r="E43" s="58">
        <f>E44</f>
        <v>0</v>
      </c>
      <c r="F43" s="58">
        <f>F44</f>
        <v>0</v>
      </c>
      <c r="G43" s="58">
        <f>G44</f>
        <v>0</v>
      </c>
      <c r="H43" s="58">
        <f>SUM(H44:H45)</f>
        <v>11000</v>
      </c>
      <c r="I43" s="58"/>
      <c r="J43" s="58">
        <f>SUM(J44:J45)</f>
        <v>0</v>
      </c>
      <c r="K43" s="59"/>
      <c r="L43" s="60"/>
      <c r="M43" s="56"/>
    </row>
    <row r="44" spans="1:13" s="57" customFormat="1" ht="21" customHeight="1" hidden="1" thickTop="1">
      <c r="A44" s="61">
        <v>20</v>
      </c>
      <c r="B44" s="62" t="s">
        <v>353</v>
      </c>
      <c r="C44" s="119">
        <v>2009</v>
      </c>
      <c r="D44" s="64">
        <f>E44</f>
        <v>0</v>
      </c>
      <c r="E44" s="64">
        <f>SUM(F44:I44)</f>
        <v>0</v>
      </c>
      <c r="F44" s="64"/>
      <c r="G44" s="64"/>
      <c r="H44" s="64"/>
      <c r="I44" s="64"/>
      <c r="J44" s="92"/>
      <c r="K44" s="120"/>
      <c r="L44" s="121"/>
      <c r="M44" s="56"/>
    </row>
    <row r="45" spans="1:13" s="57" customFormat="1" ht="18" customHeight="1" thickBot="1">
      <c r="A45" s="370" t="s">
        <v>354</v>
      </c>
      <c r="B45" s="371"/>
      <c r="C45" s="371"/>
      <c r="D45" s="58">
        <f aca="true" t="shared" si="5" ref="D45:J45">SUM(D46:D49)</f>
        <v>424610</v>
      </c>
      <c r="E45" s="58">
        <f t="shared" si="5"/>
        <v>117710</v>
      </c>
      <c r="F45" s="58">
        <f t="shared" si="5"/>
        <v>0</v>
      </c>
      <c r="G45" s="58">
        <f t="shared" si="5"/>
        <v>93734</v>
      </c>
      <c r="H45" s="58">
        <f t="shared" si="5"/>
        <v>11000</v>
      </c>
      <c r="I45" s="58">
        <f t="shared" si="5"/>
        <v>12976</v>
      </c>
      <c r="J45" s="58">
        <f t="shared" si="5"/>
        <v>0</v>
      </c>
      <c r="K45" s="58"/>
      <c r="L45" s="122"/>
      <c r="M45" s="56"/>
    </row>
    <row r="46" spans="1:13" s="57" customFormat="1" ht="18" customHeight="1" thickTop="1">
      <c r="A46" s="61">
        <v>18</v>
      </c>
      <c r="B46" s="62" t="s">
        <v>355</v>
      </c>
      <c r="C46" s="119" t="s">
        <v>316</v>
      </c>
      <c r="D46" s="64">
        <f>17900+E46</f>
        <v>93650</v>
      </c>
      <c r="E46" s="64">
        <f>SUM(F46:I46)</f>
        <v>75750</v>
      </c>
      <c r="F46" s="64"/>
      <c r="G46" s="64">
        <f>51445+23790+80+85+350</f>
        <v>75750</v>
      </c>
      <c r="H46" s="64"/>
      <c r="I46" s="64"/>
      <c r="J46" s="92"/>
      <c r="K46" s="120"/>
      <c r="L46" s="411" t="s">
        <v>313</v>
      </c>
      <c r="M46" s="56"/>
    </row>
    <row r="47" spans="1:13" s="57" customFormat="1" ht="18" customHeight="1">
      <c r="A47" s="61">
        <v>19</v>
      </c>
      <c r="B47" s="62" t="s">
        <v>356</v>
      </c>
      <c r="C47" s="119" t="s">
        <v>326</v>
      </c>
      <c r="D47" s="64">
        <f>300000</f>
        <v>300000</v>
      </c>
      <c r="E47" s="64">
        <f>SUM(F47:I47)</f>
        <v>11000</v>
      </c>
      <c r="F47" s="65"/>
      <c r="G47" s="64"/>
      <c r="H47" s="64">
        <v>11000</v>
      </c>
      <c r="I47" s="64"/>
      <c r="J47" s="92"/>
      <c r="K47" s="120"/>
      <c r="L47" s="354"/>
      <c r="M47" s="56"/>
    </row>
    <row r="48" spans="1:13" s="57" customFormat="1" ht="18" customHeight="1">
      <c r="A48" s="61">
        <v>20</v>
      </c>
      <c r="B48" s="62" t="s">
        <v>357</v>
      </c>
      <c r="C48" s="119">
        <v>2009</v>
      </c>
      <c r="D48" s="64">
        <f>E48</f>
        <v>25953</v>
      </c>
      <c r="E48" s="64">
        <f>SUM(F48:I48)</f>
        <v>25953</v>
      </c>
      <c r="F48" s="123"/>
      <c r="G48" s="64">
        <f>25953-I48</f>
        <v>12977</v>
      </c>
      <c r="H48" s="64"/>
      <c r="I48" s="64">
        <v>12976</v>
      </c>
      <c r="J48" s="92"/>
      <c r="K48" s="120"/>
      <c r="L48" s="354"/>
      <c r="M48" s="56"/>
    </row>
    <row r="49" spans="1:13" s="57" customFormat="1" ht="18" customHeight="1" thickBot="1">
      <c r="A49" s="124">
        <v>21</v>
      </c>
      <c r="B49" s="125" t="s">
        <v>358</v>
      </c>
      <c r="C49" s="126">
        <v>2009</v>
      </c>
      <c r="D49" s="127">
        <f>E49</f>
        <v>5007</v>
      </c>
      <c r="E49" s="127">
        <f>SUM(F49:I49)</f>
        <v>5007</v>
      </c>
      <c r="F49" s="127"/>
      <c r="G49" s="127">
        <v>5007</v>
      </c>
      <c r="H49" s="127"/>
      <c r="I49" s="127"/>
      <c r="J49" s="128"/>
      <c r="K49" s="129"/>
      <c r="L49" s="354"/>
      <c r="M49" s="56"/>
    </row>
    <row r="50" spans="1:13" s="57" customFormat="1" ht="18.75" customHeight="1" thickBot="1" thickTop="1">
      <c r="A50" s="403" t="s">
        <v>359</v>
      </c>
      <c r="B50" s="404"/>
      <c r="C50" s="404"/>
      <c r="D50" s="131">
        <f>D51</f>
        <v>7768.96</v>
      </c>
      <c r="E50" s="131">
        <f>E51</f>
        <v>7768.96</v>
      </c>
      <c r="F50" s="131"/>
      <c r="G50" s="131">
        <f>G51</f>
        <v>7768.96</v>
      </c>
      <c r="H50" s="132">
        <f>SUM(H51:H54)</f>
        <v>0</v>
      </c>
      <c r="I50" s="132">
        <f>SUM(I51:I54)</f>
        <v>0</v>
      </c>
      <c r="J50" s="132">
        <f>SUM(J51:J54)</f>
        <v>20</v>
      </c>
      <c r="K50" s="133"/>
      <c r="L50" s="412"/>
      <c r="M50" s="56"/>
    </row>
    <row r="51" spans="1:13" s="57" customFormat="1" ht="21" customHeight="1" thickBot="1" thickTop="1">
      <c r="A51" s="61">
        <v>22</v>
      </c>
      <c r="B51" s="62" t="s">
        <v>360</v>
      </c>
      <c r="C51" s="119">
        <v>2009</v>
      </c>
      <c r="D51" s="134">
        <f>E51</f>
        <v>7768.96</v>
      </c>
      <c r="E51" s="134">
        <f>SUM(F51:I51)</f>
        <v>7768.96</v>
      </c>
      <c r="F51" s="134"/>
      <c r="G51" s="134">
        <v>7768.96</v>
      </c>
      <c r="H51" s="64"/>
      <c r="I51" s="64"/>
      <c r="J51" s="92"/>
      <c r="K51" s="120"/>
      <c r="L51" s="413"/>
      <c r="M51" s="56"/>
    </row>
    <row r="52" spans="1:13" s="57" customFormat="1" ht="18.75" customHeight="1" thickBot="1">
      <c r="A52" s="396" t="s">
        <v>361</v>
      </c>
      <c r="B52" s="397"/>
      <c r="C52" s="398"/>
      <c r="D52" s="53">
        <f aca="true" t="shared" si="6" ref="D52:J52">D62+D53</f>
        <v>80904</v>
      </c>
      <c r="E52" s="53">
        <f t="shared" si="6"/>
        <v>5203</v>
      </c>
      <c r="F52" s="53">
        <f t="shared" si="6"/>
        <v>0</v>
      </c>
      <c r="G52" s="53">
        <f t="shared" si="6"/>
        <v>5203</v>
      </c>
      <c r="H52" s="53">
        <f t="shared" si="6"/>
        <v>0</v>
      </c>
      <c r="I52" s="53">
        <f t="shared" si="6"/>
        <v>0</v>
      </c>
      <c r="J52" s="53">
        <f t="shared" si="6"/>
        <v>10</v>
      </c>
      <c r="K52" s="53"/>
      <c r="L52" s="55"/>
      <c r="M52" s="56"/>
    </row>
    <row r="53" spans="1:13" s="57" customFormat="1" ht="18.75" customHeight="1" thickBot="1">
      <c r="A53" s="399" t="s">
        <v>362</v>
      </c>
      <c r="B53" s="400"/>
      <c r="C53" s="400"/>
      <c r="D53" s="135">
        <f aca="true" t="shared" si="7" ref="D53:I53">D54</f>
        <v>80904</v>
      </c>
      <c r="E53" s="135">
        <f t="shared" si="7"/>
        <v>5203</v>
      </c>
      <c r="F53" s="135">
        <f t="shared" si="7"/>
        <v>0</v>
      </c>
      <c r="G53" s="135">
        <f t="shared" si="7"/>
        <v>5203</v>
      </c>
      <c r="H53" s="135">
        <f t="shared" si="7"/>
        <v>0</v>
      </c>
      <c r="I53" s="136">
        <f t="shared" si="7"/>
        <v>0</v>
      </c>
      <c r="J53" s="137">
        <f>SUM(J54:J62)</f>
        <v>10</v>
      </c>
      <c r="K53" s="416" t="s">
        <v>363</v>
      </c>
      <c r="L53" s="414" t="s">
        <v>318</v>
      </c>
      <c r="M53" s="56"/>
    </row>
    <row r="54" spans="1:13" s="57" customFormat="1" ht="21.75" customHeight="1" thickBot="1" thickTop="1">
      <c r="A54" s="138">
        <v>23</v>
      </c>
      <c r="B54" s="62" t="s">
        <v>364</v>
      </c>
      <c r="C54" s="119" t="s">
        <v>316</v>
      </c>
      <c r="D54" s="64">
        <f>75701+E54</f>
        <v>80904</v>
      </c>
      <c r="E54" s="64">
        <f>G54</f>
        <v>5203</v>
      </c>
      <c r="F54" s="64"/>
      <c r="G54" s="64">
        <f>5203</f>
        <v>5203</v>
      </c>
      <c r="H54" s="64"/>
      <c r="I54" s="64"/>
      <c r="J54" s="70"/>
      <c r="K54" s="417"/>
      <c r="L54" s="415"/>
      <c r="M54" s="56"/>
    </row>
    <row r="55" spans="1:13" s="57" customFormat="1" ht="10.5" customHeight="1" hidden="1" thickBot="1">
      <c r="A55" s="140"/>
      <c r="B55" s="141"/>
      <c r="C55" s="142"/>
      <c r="D55" s="143"/>
      <c r="E55" s="143"/>
      <c r="F55" s="143"/>
      <c r="G55" s="143"/>
      <c r="H55" s="143"/>
      <c r="I55" s="143"/>
      <c r="J55" s="143"/>
      <c r="K55" s="143"/>
      <c r="L55" s="144"/>
      <c r="M55" s="56"/>
    </row>
    <row r="56" spans="1:13" s="41" customFormat="1" ht="14.25" customHeight="1" hidden="1">
      <c r="A56" s="405" t="s">
        <v>295</v>
      </c>
      <c r="B56" s="407" t="s">
        <v>296</v>
      </c>
      <c r="C56" s="407" t="s">
        <v>297</v>
      </c>
      <c r="D56" s="401" t="s">
        <v>298</v>
      </c>
      <c r="E56" s="407" t="s">
        <v>299</v>
      </c>
      <c r="F56" s="365" t="s">
        <v>300</v>
      </c>
      <c r="G56" s="366"/>
      <c r="H56" s="366"/>
      <c r="I56" s="367"/>
      <c r="J56" s="40"/>
      <c r="K56" s="40"/>
      <c r="L56" s="144"/>
      <c r="M56" s="39"/>
    </row>
    <row r="57" spans="1:13" s="41" customFormat="1" ht="14.25" customHeight="1" hidden="1">
      <c r="A57" s="406"/>
      <c r="B57" s="408"/>
      <c r="C57" s="408"/>
      <c r="D57" s="402"/>
      <c r="E57" s="408"/>
      <c r="F57" s="357" t="s">
        <v>302</v>
      </c>
      <c r="G57" s="357" t="s">
        <v>303</v>
      </c>
      <c r="H57" s="357"/>
      <c r="I57" s="357"/>
      <c r="J57" s="42"/>
      <c r="K57" s="42"/>
      <c r="L57" s="144"/>
      <c r="M57" s="39"/>
    </row>
    <row r="58" spans="1:13" s="41" customFormat="1" ht="14.25" customHeight="1" hidden="1">
      <c r="A58" s="406"/>
      <c r="B58" s="408"/>
      <c r="C58" s="408"/>
      <c r="D58" s="402"/>
      <c r="E58" s="408"/>
      <c r="F58" s="358"/>
      <c r="G58" s="393" t="s">
        <v>304</v>
      </c>
      <c r="H58" s="393" t="s">
        <v>365</v>
      </c>
      <c r="I58" s="393" t="s">
        <v>366</v>
      </c>
      <c r="J58" s="43" t="s">
        <v>307</v>
      </c>
      <c r="K58" s="393" t="s">
        <v>308</v>
      </c>
      <c r="L58" s="144"/>
      <c r="M58" s="39"/>
    </row>
    <row r="59" spans="1:13" s="41" customFormat="1" ht="14.25" customHeight="1" hidden="1">
      <c r="A59" s="406"/>
      <c r="B59" s="408"/>
      <c r="C59" s="408"/>
      <c r="D59" s="402"/>
      <c r="E59" s="408"/>
      <c r="F59" s="358"/>
      <c r="G59" s="394"/>
      <c r="H59" s="394"/>
      <c r="I59" s="394"/>
      <c r="J59" s="44"/>
      <c r="K59" s="394"/>
      <c r="L59" s="144"/>
      <c r="M59" s="39"/>
    </row>
    <row r="60" spans="1:13" s="41" customFormat="1" ht="15" customHeight="1" hidden="1" thickBot="1">
      <c r="A60" s="406"/>
      <c r="B60" s="408"/>
      <c r="C60" s="408"/>
      <c r="D60" s="402"/>
      <c r="E60" s="408"/>
      <c r="F60" s="358"/>
      <c r="G60" s="394"/>
      <c r="H60" s="394"/>
      <c r="I60" s="394"/>
      <c r="J60" s="44"/>
      <c r="K60" s="395"/>
      <c r="L60" s="144"/>
      <c r="M60" s="39"/>
    </row>
    <row r="61" spans="1:13" s="51" customFormat="1" ht="10.5" customHeight="1" hidden="1" thickBot="1">
      <c r="A61" s="145">
        <v>1</v>
      </c>
      <c r="B61" s="146">
        <v>2</v>
      </c>
      <c r="C61" s="146">
        <v>3</v>
      </c>
      <c r="D61" s="147">
        <v>4</v>
      </c>
      <c r="E61" s="146">
        <v>5</v>
      </c>
      <c r="F61" s="146">
        <v>6</v>
      </c>
      <c r="G61" s="148">
        <v>7</v>
      </c>
      <c r="H61" s="148">
        <v>8</v>
      </c>
      <c r="I61" s="148">
        <v>9</v>
      </c>
      <c r="J61" s="148">
        <v>10</v>
      </c>
      <c r="K61" s="148">
        <v>10</v>
      </c>
      <c r="L61" s="144"/>
      <c r="M61" s="50"/>
    </row>
    <row r="62" spans="1:13" s="57" customFormat="1" ht="18.75" customHeight="1" hidden="1" thickBot="1" thickTop="1">
      <c r="A62" s="403" t="s">
        <v>367</v>
      </c>
      <c r="B62" s="404"/>
      <c r="C62" s="404"/>
      <c r="D62" s="132">
        <f aca="true" t="shared" si="8" ref="D62:J62">SUM(D63:D64)</f>
        <v>0</v>
      </c>
      <c r="E62" s="132">
        <f t="shared" si="8"/>
        <v>0</v>
      </c>
      <c r="F62" s="132">
        <f t="shared" si="8"/>
        <v>0</v>
      </c>
      <c r="G62" s="132">
        <f t="shared" si="8"/>
        <v>0</v>
      </c>
      <c r="H62" s="132">
        <f t="shared" si="8"/>
        <v>0</v>
      </c>
      <c r="I62" s="132">
        <f t="shared" si="8"/>
        <v>0</v>
      </c>
      <c r="J62" s="132">
        <f t="shared" si="8"/>
        <v>0</v>
      </c>
      <c r="K62" s="133"/>
      <c r="L62" s="144"/>
      <c r="M62" s="56"/>
    </row>
    <row r="63" spans="1:13" s="57" customFormat="1" ht="21.75" customHeight="1" hidden="1" thickTop="1">
      <c r="A63" s="138">
        <v>28</v>
      </c>
      <c r="B63" s="62" t="s">
        <v>368</v>
      </c>
      <c r="C63" s="119" t="s">
        <v>344</v>
      </c>
      <c r="D63" s="149"/>
      <c r="E63" s="149">
        <f>SUM(F63,G63,H63,I63,L5)</f>
        <v>0</v>
      </c>
      <c r="F63" s="149"/>
      <c r="G63" s="149"/>
      <c r="H63" s="149"/>
      <c r="I63" s="149"/>
      <c r="J63" s="149"/>
      <c r="K63" s="149"/>
      <c r="L63" s="144"/>
      <c r="M63" s="56"/>
    </row>
    <row r="64" spans="1:13" s="57" customFormat="1" ht="26.25" customHeight="1" hidden="1" thickBot="1">
      <c r="A64" s="150">
        <v>29</v>
      </c>
      <c r="B64" s="62" t="s">
        <v>369</v>
      </c>
      <c r="C64" s="151">
        <v>2009</v>
      </c>
      <c r="D64" s="149">
        <f>E64</f>
        <v>0</v>
      </c>
      <c r="E64" s="149">
        <f>SUM(F64,G64,H64,I64,L6)</f>
        <v>0</v>
      </c>
      <c r="F64" s="105"/>
      <c r="G64" s="152"/>
      <c r="H64" s="105"/>
      <c r="I64" s="105"/>
      <c r="J64" s="105"/>
      <c r="K64" s="105"/>
      <c r="L64" s="144"/>
      <c r="M64" s="56"/>
    </row>
    <row r="65" spans="1:13" s="57" customFormat="1" ht="18.75" customHeight="1" thickBot="1">
      <c r="A65" s="396" t="s">
        <v>370</v>
      </c>
      <c r="B65" s="397"/>
      <c r="C65" s="398"/>
      <c r="D65" s="53">
        <f aca="true" t="shared" si="9" ref="D65:J65">D66</f>
        <v>2307400</v>
      </c>
      <c r="E65" s="53">
        <f t="shared" si="9"/>
        <v>1010324</v>
      </c>
      <c r="F65" s="53">
        <f t="shared" si="9"/>
        <v>0</v>
      </c>
      <c r="G65" s="54">
        <f t="shared" si="9"/>
        <v>10324</v>
      </c>
      <c r="H65" s="53">
        <f t="shared" si="9"/>
        <v>1000000</v>
      </c>
      <c r="I65" s="53">
        <f t="shared" si="9"/>
        <v>0</v>
      </c>
      <c r="J65" s="53">
        <f t="shared" si="9"/>
        <v>0</v>
      </c>
      <c r="K65" s="54"/>
      <c r="L65" s="55"/>
      <c r="M65" s="56"/>
    </row>
    <row r="66" spans="1:13" s="57" customFormat="1" ht="18.75" customHeight="1" thickBot="1">
      <c r="A66" s="370" t="s">
        <v>371</v>
      </c>
      <c r="B66" s="371"/>
      <c r="C66" s="371"/>
      <c r="D66" s="58">
        <f aca="true" t="shared" si="10" ref="D66:I66">SUM(D67:D68)</f>
        <v>2307400</v>
      </c>
      <c r="E66" s="58">
        <f t="shared" si="10"/>
        <v>1010324</v>
      </c>
      <c r="F66" s="58">
        <f t="shared" si="10"/>
        <v>0</v>
      </c>
      <c r="G66" s="58">
        <f t="shared" si="10"/>
        <v>10324</v>
      </c>
      <c r="H66" s="58">
        <f t="shared" si="10"/>
        <v>1000000</v>
      </c>
      <c r="I66" s="58">
        <f t="shared" si="10"/>
        <v>0</v>
      </c>
      <c r="J66" s="58">
        <f>SUM(J67:J67)</f>
        <v>0</v>
      </c>
      <c r="K66" s="59"/>
      <c r="L66" s="354" t="s">
        <v>313</v>
      </c>
      <c r="M66" s="56"/>
    </row>
    <row r="67" spans="1:13" s="57" customFormat="1" ht="25.5" customHeight="1" thickBot="1" thickTop="1">
      <c r="A67" s="102">
        <v>24</v>
      </c>
      <c r="B67" s="153" t="s">
        <v>372</v>
      </c>
      <c r="C67" s="154" t="s">
        <v>312</v>
      </c>
      <c r="D67" s="105">
        <v>2297400</v>
      </c>
      <c r="E67" s="105">
        <f>SUM(F67,G67,H67,I67,L67)</f>
        <v>1000324</v>
      </c>
      <c r="F67" s="105"/>
      <c r="G67" s="107">
        <f>1000324-H67</f>
        <v>324</v>
      </c>
      <c r="H67" s="105">
        <v>1000000</v>
      </c>
      <c r="I67" s="105"/>
      <c r="J67" s="107"/>
      <c r="K67" s="155" t="s">
        <v>373</v>
      </c>
      <c r="L67" s="413"/>
      <c r="M67" s="56"/>
    </row>
    <row r="68" spans="1:13" s="57" customFormat="1" ht="25.5" customHeight="1" thickBot="1">
      <c r="A68" s="102">
        <v>25</v>
      </c>
      <c r="B68" s="153" t="s">
        <v>374</v>
      </c>
      <c r="C68" s="151">
        <v>2009</v>
      </c>
      <c r="D68" s="105">
        <f>E68</f>
        <v>10000</v>
      </c>
      <c r="E68" s="105">
        <f>SUM(F68,G68,H68,I68,L68)</f>
        <v>10000</v>
      </c>
      <c r="F68" s="105"/>
      <c r="G68" s="107">
        <v>10000</v>
      </c>
      <c r="H68" s="105"/>
      <c r="I68" s="105"/>
      <c r="J68" s="107"/>
      <c r="K68" s="155"/>
      <c r="L68" s="117" t="s">
        <v>375</v>
      </c>
      <c r="M68" s="56"/>
    </row>
    <row r="69" spans="1:13" s="57" customFormat="1" ht="32.25" customHeight="1" thickBot="1">
      <c r="A69" s="396" t="s">
        <v>376</v>
      </c>
      <c r="B69" s="397"/>
      <c r="C69" s="398"/>
      <c r="D69" s="53">
        <f aca="true" t="shared" si="11" ref="D69:I69">D76+D70+D74+D72</f>
        <v>962716</v>
      </c>
      <c r="E69" s="53">
        <f t="shared" si="11"/>
        <v>208696</v>
      </c>
      <c r="F69" s="53">
        <f t="shared" si="11"/>
        <v>0</v>
      </c>
      <c r="G69" s="53">
        <f t="shared" si="11"/>
        <v>15796</v>
      </c>
      <c r="H69" s="53">
        <f t="shared" si="11"/>
        <v>185000</v>
      </c>
      <c r="I69" s="53">
        <f t="shared" si="11"/>
        <v>7900</v>
      </c>
      <c r="J69" s="53" t="e">
        <f>J76+#REF!+J70+J74</f>
        <v>#REF!</v>
      </c>
      <c r="K69" s="53"/>
      <c r="L69" s="156"/>
      <c r="M69" s="56"/>
    </row>
    <row r="70" spans="1:13" s="57" customFormat="1" ht="19.5" customHeight="1" thickBot="1" thickTop="1">
      <c r="A70" s="403" t="s">
        <v>377</v>
      </c>
      <c r="B70" s="404"/>
      <c r="C70" s="404"/>
      <c r="D70" s="132">
        <f aca="true" t="shared" si="12" ref="D70:K70">SUM(D71:D71)</f>
        <v>115136</v>
      </c>
      <c r="E70" s="132">
        <f t="shared" si="12"/>
        <v>7836</v>
      </c>
      <c r="F70" s="132">
        <f t="shared" si="12"/>
        <v>0</v>
      </c>
      <c r="G70" s="132">
        <f t="shared" si="12"/>
        <v>7836</v>
      </c>
      <c r="H70" s="132">
        <f t="shared" si="12"/>
        <v>0</v>
      </c>
      <c r="I70" s="132">
        <f t="shared" si="12"/>
        <v>0</v>
      </c>
      <c r="J70" s="132">
        <f t="shared" si="12"/>
        <v>0</v>
      </c>
      <c r="K70" s="133">
        <f t="shared" si="12"/>
        <v>0</v>
      </c>
      <c r="L70" s="420" t="s">
        <v>318</v>
      </c>
      <c r="M70" s="56"/>
    </row>
    <row r="71" spans="1:13" s="57" customFormat="1" ht="19.5" customHeight="1" thickBot="1" thickTop="1">
      <c r="A71" s="157">
        <v>26</v>
      </c>
      <c r="B71" s="89" t="s">
        <v>378</v>
      </c>
      <c r="C71" s="158" t="s">
        <v>344</v>
      </c>
      <c r="D71" s="64">
        <f>E71+107300</f>
        <v>115136</v>
      </c>
      <c r="E71" s="64">
        <f>F71+G71+H71+I71+J71</f>
        <v>7836</v>
      </c>
      <c r="F71" s="64"/>
      <c r="G71" s="64">
        <f>6000+1836</f>
        <v>7836</v>
      </c>
      <c r="H71" s="64"/>
      <c r="I71" s="64"/>
      <c r="J71" s="64"/>
      <c r="K71" s="139" t="s">
        <v>379</v>
      </c>
      <c r="L71" s="421"/>
      <c r="M71" s="56"/>
    </row>
    <row r="72" spans="1:13" s="57" customFormat="1" ht="22.5" customHeight="1" thickBot="1" thickTop="1">
      <c r="A72" s="403" t="s">
        <v>380</v>
      </c>
      <c r="B72" s="404"/>
      <c r="C72" s="404"/>
      <c r="D72" s="132">
        <f aca="true" t="shared" si="13" ref="D72:I72">D73</f>
        <v>800000</v>
      </c>
      <c r="E72" s="132">
        <f t="shared" si="13"/>
        <v>185000</v>
      </c>
      <c r="F72" s="132">
        <f t="shared" si="13"/>
        <v>0</v>
      </c>
      <c r="G72" s="132">
        <f t="shared" si="13"/>
        <v>0</v>
      </c>
      <c r="H72" s="132">
        <f t="shared" si="13"/>
        <v>185000</v>
      </c>
      <c r="I72" s="132">
        <f t="shared" si="13"/>
        <v>0</v>
      </c>
      <c r="J72" s="132"/>
      <c r="K72" s="133"/>
      <c r="L72" s="354" t="s">
        <v>313</v>
      </c>
      <c r="M72" s="56"/>
    </row>
    <row r="73" spans="1:13" s="57" customFormat="1" ht="26.25" customHeight="1" thickBot="1" thickTop="1">
      <c r="A73" s="138">
        <v>27</v>
      </c>
      <c r="B73" s="62" t="s">
        <v>381</v>
      </c>
      <c r="C73" s="111" t="s">
        <v>312</v>
      </c>
      <c r="D73" s="64">
        <v>800000</v>
      </c>
      <c r="E73" s="64">
        <f>SUM(F73,G73,H73,I73,L20)</f>
        <v>185000</v>
      </c>
      <c r="F73" s="64"/>
      <c r="G73" s="92"/>
      <c r="H73" s="64">
        <v>185000</v>
      </c>
      <c r="I73" s="64"/>
      <c r="J73" s="64">
        <v>26400</v>
      </c>
      <c r="K73" s="67"/>
      <c r="L73" s="409"/>
      <c r="M73" s="56"/>
    </row>
    <row r="74" spans="1:13" s="57" customFormat="1" ht="22.5" customHeight="1" thickBot="1" thickTop="1">
      <c r="A74" s="403" t="s">
        <v>382</v>
      </c>
      <c r="B74" s="404"/>
      <c r="C74" s="404"/>
      <c r="D74" s="132">
        <f aca="true" t="shared" si="14" ref="D74:I74">D75</f>
        <v>47580</v>
      </c>
      <c r="E74" s="132">
        <f t="shared" si="14"/>
        <v>15860</v>
      </c>
      <c r="F74" s="132">
        <f t="shared" si="14"/>
        <v>0</v>
      </c>
      <c r="G74" s="132">
        <f t="shared" si="14"/>
        <v>7960</v>
      </c>
      <c r="H74" s="132">
        <f t="shared" si="14"/>
        <v>0</v>
      </c>
      <c r="I74" s="132">
        <f t="shared" si="14"/>
        <v>7900</v>
      </c>
      <c r="J74" s="132"/>
      <c r="K74" s="133"/>
      <c r="L74" s="422" t="s">
        <v>313</v>
      </c>
      <c r="M74" s="56"/>
    </row>
    <row r="75" spans="1:13" s="57" customFormat="1" ht="20.25" customHeight="1" thickBot="1" thickTop="1">
      <c r="A75" s="61">
        <v>28</v>
      </c>
      <c r="B75" s="62" t="s">
        <v>383</v>
      </c>
      <c r="C75" s="111" t="s">
        <v>316</v>
      </c>
      <c r="D75" s="64">
        <v>47580</v>
      </c>
      <c r="E75" s="64">
        <f>SUM(F75,G75,H75,I75)</f>
        <v>15860</v>
      </c>
      <c r="F75" s="64"/>
      <c r="G75" s="92">
        <f>15860-I75</f>
        <v>7960</v>
      </c>
      <c r="H75" s="64"/>
      <c r="I75" s="64">
        <v>7900</v>
      </c>
      <c r="J75" s="64">
        <v>26400</v>
      </c>
      <c r="K75" s="79" t="s">
        <v>384</v>
      </c>
      <c r="L75" s="423"/>
      <c r="M75" s="56"/>
    </row>
    <row r="76" spans="1:13" s="57" customFormat="1" ht="22.5" customHeight="1" hidden="1" thickBot="1">
      <c r="A76" s="363" t="s">
        <v>385</v>
      </c>
      <c r="B76" s="364"/>
      <c r="C76" s="364"/>
      <c r="D76" s="159">
        <f aca="true" t="shared" si="15" ref="D76:I76">D77</f>
        <v>0</v>
      </c>
      <c r="E76" s="159">
        <f t="shared" si="15"/>
        <v>0</v>
      </c>
      <c r="F76" s="159">
        <f t="shared" si="15"/>
        <v>0</v>
      </c>
      <c r="G76" s="159">
        <f t="shared" si="15"/>
        <v>0</v>
      </c>
      <c r="H76" s="159">
        <f t="shared" si="15"/>
        <v>0</v>
      </c>
      <c r="I76" s="159">
        <f t="shared" si="15"/>
        <v>0</v>
      </c>
      <c r="J76" s="159"/>
      <c r="K76" s="160"/>
      <c r="L76" s="424" t="s">
        <v>386</v>
      </c>
      <c r="M76" s="56"/>
    </row>
    <row r="77" spans="1:13" s="57" customFormat="1" ht="32.25" customHeight="1" hidden="1" thickBot="1" thickTop="1">
      <c r="A77" s="102">
        <v>30</v>
      </c>
      <c r="B77" s="153" t="s">
        <v>387</v>
      </c>
      <c r="C77" s="161" t="s">
        <v>326</v>
      </c>
      <c r="D77" s="105">
        <f>E77</f>
        <v>0</v>
      </c>
      <c r="E77" s="105">
        <f>SUM(F77,G77,H77,I77)</f>
        <v>0</v>
      </c>
      <c r="F77" s="105"/>
      <c r="G77" s="107"/>
      <c r="H77" s="105"/>
      <c r="I77" s="105"/>
      <c r="J77" s="105">
        <v>26400</v>
      </c>
      <c r="K77" s="162" t="s">
        <v>388</v>
      </c>
      <c r="L77" s="425"/>
      <c r="M77" s="56"/>
    </row>
    <row r="78" spans="1:13" s="167" customFormat="1" ht="18.75" customHeight="1" thickBot="1">
      <c r="A78" s="361" t="s">
        <v>389</v>
      </c>
      <c r="B78" s="362"/>
      <c r="C78" s="362"/>
      <c r="D78" s="165">
        <f>D79+D100+D92</f>
        <v>2355000</v>
      </c>
      <c r="E78" s="165">
        <f>E79+E100+E92</f>
        <v>35000</v>
      </c>
      <c r="F78" s="165">
        <f>F79+F100+F92</f>
        <v>0</v>
      </c>
      <c r="G78" s="165">
        <f>G79+G100+G92</f>
        <v>24000</v>
      </c>
      <c r="H78" s="165">
        <f>H79+H100</f>
        <v>11000</v>
      </c>
      <c r="I78" s="165">
        <f>I79+I100</f>
        <v>0</v>
      </c>
      <c r="J78" s="165">
        <f>J79+J100</f>
        <v>0</v>
      </c>
      <c r="K78" s="165">
        <f>K79+K100</f>
        <v>0</v>
      </c>
      <c r="L78" s="163"/>
      <c r="M78" s="166"/>
    </row>
    <row r="79" spans="1:13" s="167" customFormat="1" ht="18.75" customHeight="1" thickBot="1" thickTop="1">
      <c r="A79" s="359" t="s">
        <v>390</v>
      </c>
      <c r="B79" s="360"/>
      <c r="C79" s="360"/>
      <c r="D79" s="168">
        <f aca="true" t="shared" si="16" ref="D79:I79">D80+D88+D89+D90+D91</f>
        <v>1464000</v>
      </c>
      <c r="E79" s="168">
        <f t="shared" si="16"/>
        <v>29000</v>
      </c>
      <c r="F79" s="168">
        <f t="shared" si="16"/>
        <v>0</v>
      </c>
      <c r="G79" s="168">
        <f t="shared" si="16"/>
        <v>18000</v>
      </c>
      <c r="H79" s="168">
        <f t="shared" si="16"/>
        <v>11000</v>
      </c>
      <c r="I79" s="168">
        <f t="shared" si="16"/>
        <v>0</v>
      </c>
      <c r="J79" s="168">
        <f>J99</f>
        <v>0</v>
      </c>
      <c r="K79" s="169"/>
      <c r="L79" s="418" t="s">
        <v>391</v>
      </c>
      <c r="M79" s="166"/>
    </row>
    <row r="80" spans="1:13" s="167" customFormat="1" ht="32.25" customHeight="1" thickTop="1">
      <c r="A80" s="170">
        <v>29</v>
      </c>
      <c r="B80" s="171" t="s">
        <v>392</v>
      </c>
      <c r="C80" s="172">
        <v>2009</v>
      </c>
      <c r="D80" s="173">
        <f>E80</f>
        <v>10000</v>
      </c>
      <c r="E80" s="173">
        <f>SUM(F80,G80,H80,I80,L78)</f>
        <v>10000</v>
      </c>
      <c r="F80" s="173"/>
      <c r="G80" s="173">
        <v>10000</v>
      </c>
      <c r="H80" s="173"/>
      <c r="I80" s="173"/>
      <c r="J80" s="173"/>
      <c r="K80" s="139" t="s">
        <v>393</v>
      </c>
      <c r="L80" s="419"/>
      <c r="M80" s="166"/>
    </row>
    <row r="81" spans="2:13" s="36" customFormat="1" ht="15" customHeight="1" thickBot="1">
      <c r="B81" s="37"/>
      <c r="D81" s="37"/>
      <c r="L81" s="38"/>
      <c r="M81" s="39"/>
    </row>
    <row r="82" spans="1:13" s="41" customFormat="1" ht="14.25" customHeight="1">
      <c r="A82" s="405" t="s">
        <v>295</v>
      </c>
      <c r="B82" s="407" t="s">
        <v>296</v>
      </c>
      <c r="C82" s="407" t="s">
        <v>297</v>
      </c>
      <c r="D82" s="401" t="s">
        <v>298</v>
      </c>
      <c r="E82" s="407" t="s">
        <v>299</v>
      </c>
      <c r="F82" s="365" t="s">
        <v>300</v>
      </c>
      <c r="G82" s="366"/>
      <c r="H82" s="366"/>
      <c r="I82" s="367"/>
      <c r="J82" s="40"/>
      <c r="K82" s="40"/>
      <c r="L82" s="369" t="s">
        <v>301</v>
      </c>
      <c r="M82" s="39"/>
    </row>
    <row r="83" spans="1:13" s="41" customFormat="1" ht="14.25" customHeight="1">
      <c r="A83" s="406"/>
      <c r="B83" s="408"/>
      <c r="C83" s="408"/>
      <c r="D83" s="402"/>
      <c r="E83" s="408"/>
      <c r="F83" s="357" t="s">
        <v>302</v>
      </c>
      <c r="G83" s="357" t="s">
        <v>303</v>
      </c>
      <c r="H83" s="357"/>
      <c r="I83" s="357"/>
      <c r="J83" s="42"/>
      <c r="K83" s="42"/>
      <c r="L83" s="355"/>
      <c r="M83" s="39"/>
    </row>
    <row r="84" spans="1:13" s="41" customFormat="1" ht="14.25" customHeight="1">
      <c r="A84" s="406"/>
      <c r="B84" s="408"/>
      <c r="C84" s="408"/>
      <c r="D84" s="402"/>
      <c r="E84" s="408"/>
      <c r="F84" s="358"/>
      <c r="G84" s="393" t="s">
        <v>304</v>
      </c>
      <c r="H84" s="393" t="s">
        <v>305</v>
      </c>
      <c r="I84" s="393" t="s">
        <v>306</v>
      </c>
      <c r="J84" s="43" t="s">
        <v>307</v>
      </c>
      <c r="K84" s="393" t="s">
        <v>308</v>
      </c>
      <c r="L84" s="355"/>
      <c r="M84" s="39"/>
    </row>
    <row r="85" spans="1:13" s="41" customFormat="1" ht="14.25" customHeight="1">
      <c r="A85" s="406"/>
      <c r="B85" s="408"/>
      <c r="C85" s="408"/>
      <c r="D85" s="402"/>
      <c r="E85" s="408"/>
      <c r="F85" s="358"/>
      <c r="G85" s="394"/>
      <c r="H85" s="394"/>
      <c r="I85" s="394"/>
      <c r="J85" s="44"/>
      <c r="K85" s="394"/>
      <c r="L85" s="355"/>
      <c r="M85" s="39"/>
    </row>
    <row r="86" spans="1:13" s="41" customFormat="1" ht="15" customHeight="1">
      <c r="A86" s="406"/>
      <c r="B86" s="408"/>
      <c r="C86" s="408"/>
      <c r="D86" s="402"/>
      <c r="E86" s="408"/>
      <c r="F86" s="358"/>
      <c r="G86" s="394"/>
      <c r="H86" s="394"/>
      <c r="I86" s="394"/>
      <c r="J86" s="44"/>
      <c r="K86" s="395"/>
      <c r="L86" s="356"/>
      <c r="M86" s="39"/>
    </row>
    <row r="87" spans="1:13" s="51" customFormat="1" ht="10.5" customHeight="1">
      <c r="A87" s="45">
        <v>1</v>
      </c>
      <c r="B87" s="46">
        <v>2</v>
      </c>
      <c r="C87" s="46">
        <v>3</v>
      </c>
      <c r="D87" s="47">
        <v>4</v>
      </c>
      <c r="E87" s="97">
        <v>5</v>
      </c>
      <c r="F87" s="97">
        <v>6</v>
      </c>
      <c r="G87" s="48">
        <v>7</v>
      </c>
      <c r="H87" s="48">
        <v>8</v>
      </c>
      <c r="I87" s="48">
        <v>9</v>
      </c>
      <c r="J87" s="48">
        <v>10</v>
      </c>
      <c r="K87" s="48">
        <v>10</v>
      </c>
      <c r="L87" s="164">
        <v>11</v>
      </c>
      <c r="M87" s="50"/>
    </row>
    <row r="88" spans="1:13" s="57" customFormat="1" ht="30" customHeight="1">
      <c r="A88" s="80">
        <v>30</v>
      </c>
      <c r="B88" s="69" t="s">
        <v>394</v>
      </c>
      <c r="C88" s="174" t="s">
        <v>312</v>
      </c>
      <c r="D88" s="70">
        <v>515500</v>
      </c>
      <c r="E88" s="64">
        <f>SUM(F88,G88,H88,I88,L88)</f>
        <v>11000</v>
      </c>
      <c r="F88" s="65"/>
      <c r="G88" s="70"/>
      <c r="H88" s="70">
        <v>11000</v>
      </c>
      <c r="I88" s="70"/>
      <c r="J88" s="70"/>
      <c r="K88" s="82"/>
      <c r="L88" s="424" t="s">
        <v>313</v>
      </c>
      <c r="M88" s="56"/>
    </row>
    <row r="89" spans="1:13" s="57" customFormat="1" ht="24" customHeight="1">
      <c r="A89" s="80">
        <v>31</v>
      </c>
      <c r="B89" s="69" t="s">
        <v>395</v>
      </c>
      <c r="C89" s="174" t="s">
        <v>326</v>
      </c>
      <c r="D89" s="70">
        <f>60000</f>
        <v>60000</v>
      </c>
      <c r="E89" s="64">
        <f>SUM(F89,G89,H89,I89,L89)</f>
        <v>0</v>
      </c>
      <c r="F89" s="70"/>
      <c r="G89" s="70"/>
      <c r="H89" s="71"/>
      <c r="I89" s="70"/>
      <c r="J89" s="70"/>
      <c r="K89" s="82"/>
      <c r="L89" s="426"/>
      <c r="M89" s="56"/>
    </row>
    <row r="90" spans="1:13" s="57" customFormat="1" ht="24" customHeight="1">
      <c r="A90" s="80">
        <v>32</v>
      </c>
      <c r="B90" s="69" t="s">
        <v>396</v>
      </c>
      <c r="C90" s="174" t="s">
        <v>326</v>
      </c>
      <c r="D90" s="70">
        <v>874000</v>
      </c>
      <c r="E90" s="64">
        <f>SUM(F90,G90,H90,I90,L90)</f>
        <v>3500</v>
      </c>
      <c r="F90" s="70"/>
      <c r="G90" s="70">
        <v>3500</v>
      </c>
      <c r="H90" s="71"/>
      <c r="I90" s="70"/>
      <c r="J90" s="70"/>
      <c r="K90" s="82"/>
      <c r="L90" s="426"/>
      <c r="M90" s="56"/>
    </row>
    <row r="91" spans="1:13" s="57" customFormat="1" ht="27" customHeight="1" thickBot="1">
      <c r="A91" s="80">
        <v>33</v>
      </c>
      <c r="B91" s="62" t="s">
        <v>397</v>
      </c>
      <c r="C91" s="174">
        <v>2009</v>
      </c>
      <c r="D91" s="70">
        <f>E91</f>
        <v>4500</v>
      </c>
      <c r="E91" s="64">
        <f>SUM(F91,G91,H91,I91,L91)</f>
        <v>4500</v>
      </c>
      <c r="F91" s="65"/>
      <c r="G91" s="70">
        <v>4500</v>
      </c>
      <c r="H91" s="71"/>
      <c r="I91" s="175"/>
      <c r="J91" s="70"/>
      <c r="K91" s="139"/>
      <c r="L91" s="426"/>
      <c r="M91" s="56"/>
    </row>
    <row r="92" spans="1:13" s="57" customFormat="1" ht="22.5" customHeight="1" thickBot="1" thickTop="1">
      <c r="A92" s="429" t="s">
        <v>398</v>
      </c>
      <c r="B92" s="430"/>
      <c r="C92" s="130"/>
      <c r="D92" s="132">
        <f aca="true" t="shared" si="17" ref="D92:J92">SUM(D93:D93)</f>
        <v>891000</v>
      </c>
      <c r="E92" s="132">
        <f t="shared" si="17"/>
        <v>6000</v>
      </c>
      <c r="F92" s="132">
        <f t="shared" si="17"/>
        <v>0</v>
      </c>
      <c r="G92" s="132">
        <f t="shared" si="17"/>
        <v>6000</v>
      </c>
      <c r="H92" s="132">
        <f t="shared" si="17"/>
        <v>0</v>
      </c>
      <c r="I92" s="132">
        <f t="shared" si="17"/>
        <v>0</v>
      </c>
      <c r="J92" s="132">
        <f t="shared" si="17"/>
        <v>0</v>
      </c>
      <c r="K92" s="133"/>
      <c r="L92" s="426"/>
      <c r="M92" s="56"/>
    </row>
    <row r="93" spans="1:13" s="57" customFormat="1" ht="39.75" thickBot="1" thickTop="1">
      <c r="A93" s="61">
        <v>34</v>
      </c>
      <c r="B93" s="62" t="s">
        <v>399</v>
      </c>
      <c r="C93" s="119" t="s">
        <v>312</v>
      </c>
      <c r="D93" s="64">
        <v>891000</v>
      </c>
      <c r="E93" s="64">
        <f>SUM(F93,G93,H93,I93,)</f>
        <v>6000</v>
      </c>
      <c r="F93" s="65"/>
      <c r="G93" s="92">
        <f>4000+2000</f>
        <v>6000</v>
      </c>
      <c r="H93" s="66"/>
      <c r="I93" s="66"/>
      <c r="J93" s="176"/>
      <c r="K93" s="177"/>
      <c r="L93" s="426"/>
      <c r="M93" s="56"/>
    </row>
    <row r="94" spans="1:13" s="57" customFormat="1" ht="21.75" customHeight="1" thickBot="1">
      <c r="A94" s="396" t="s">
        <v>400</v>
      </c>
      <c r="B94" s="398"/>
      <c r="C94" s="52"/>
      <c r="D94" s="53">
        <f aca="true" t="shared" si="18" ref="D94:I94">D95</f>
        <v>1522050</v>
      </c>
      <c r="E94" s="53">
        <f t="shared" si="18"/>
        <v>484650</v>
      </c>
      <c r="F94" s="53">
        <f t="shared" si="18"/>
        <v>0</v>
      </c>
      <c r="G94" s="53">
        <f t="shared" si="18"/>
        <v>444650</v>
      </c>
      <c r="H94" s="53">
        <f t="shared" si="18"/>
        <v>40000</v>
      </c>
      <c r="I94" s="53">
        <f t="shared" si="18"/>
        <v>0</v>
      </c>
      <c r="J94" s="53">
        <f>J95+J103</f>
        <v>0</v>
      </c>
      <c r="K94" s="178"/>
      <c r="L94" s="426"/>
      <c r="M94" s="56"/>
    </row>
    <row r="95" spans="1:13" s="57" customFormat="1" ht="22.5" customHeight="1" thickBot="1">
      <c r="A95" s="427" t="s">
        <v>401</v>
      </c>
      <c r="B95" s="428"/>
      <c r="C95" s="31"/>
      <c r="D95" s="58">
        <f aca="true" t="shared" si="19" ref="D95:I95">SUM(D96:D98)</f>
        <v>1522050</v>
      </c>
      <c r="E95" s="58">
        <f t="shared" si="19"/>
        <v>484650</v>
      </c>
      <c r="F95" s="58">
        <f t="shared" si="19"/>
        <v>0</v>
      </c>
      <c r="G95" s="58">
        <f t="shared" si="19"/>
        <v>444650</v>
      </c>
      <c r="H95" s="58">
        <f t="shared" si="19"/>
        <v>40000</v>
      </c>
      <c r="I95" s="58">
        <f t="shared" si="19"/>
        <v>0</v>
      </c>
      <c r="J95" s="58">
        <f>SUM(J96:J101)</f>
        <v>0</v>
      </c>
      <c r="K95" s="179"/>
      <c r="L95" s="426"/>
      <c r="M95" s="56"/>
    </row>
    <row r="96" spans="1:13" s="57" customFormat="1" ht="39" thickTop="1">
      <c r="A96" s="61">
        <v>35</v>
      </c>
      <c r="B96" s="62" t="s">
        <v>402</v>
      </c>
      <c r="C96" s="119" t="s">
        <v>316</v>
      </c>
      <c r="D96" s="64">
        <f>777400+E96</f>
        <v>1222050</v>
      </c>
      <c r="E96" s="64">
        <f>SUM(F96,G96,H96,I96)</f>
        <v>444650</v>
      </c>
      <c r="F96" s="65"/>
      <c r="G96" s="64">
        <f>404000+17250+35600-12200</f>
        <v>444650</v>
      </c>
      <c r="H96" s="64"/>
      <c r="I96" s="64"/>
      <c r="J96" s="64"/>
      <c r="K96" s="64"/>
      <c r="L96" s="426"/>
      <c r="M96" s="56"/>
    </row>
    <row r="97" spans="1:13" s="57" customFormat="1" ht="19.5" customHeight="1" thickBot="1">
      <c r="A97" s="61">
        <v>36</v>
      </c>
      <c r="B97" s="62" t="s">
        <v>403</v>
      </c>
      <c r="C97" s="119" t="s">
        <v>326</v>
      </c>
      <c r="D97" s="64">
        <f>300000+G97</f>
        <v>300000</v>
      </c>
      <c r="E97" s="64">
        <f>SUM(F97,G97,H97,I97)</f>
        <v>40000</v>
      </c>
      <c r="F97" s="64"/>
      <c r="G97" s="64"/>
      <c r="H97" s="64">
        <v>40000</v>
      </c>
      <c r="I97" s="64"/>
      <c r="J97" s="64"/>
      <c r="K97" s="64"/>
      <c r="L97" s="426"/>
      <c r="M97" s="56"/>
    </row>
    <row r="98" spans="1:13" s="57" customFormat="1" ht="28.5" customHeight="1" hidden="1" thickBot="1">
      <c r="A98" s="61">
        <v>38</v>
      </c>
      <c r="B98" s="62" t="s">
        <v>404</v>
      </c>
      <c r="C98" s="119">
        <v>2009</v>
      </c>
      <c r="D98" s="64">
        <f>E98</f>
        <v>0</v>
      </c>
      <c r="E98" s="64">
        <f>SUM(F98,G98,H98,I98)</f>
        <v>0</v>
      </c>
      <c r="F98" s="65"/>
      <c r="G98" s="64">
        <v>0</v>
      </c>
      <c r="H98" s="64"/>
      <c r="I98" s="64"/>
      <c r="J98" s="92"/>
      <c r="K98" s="180"/>
      <c r="L98" s="191"/>
      <c r="M98" s="56"/>
    </row>
    <row r="99" spans="1:13" s="57" customFormat="1" ht="22.5" customHeight="1" thickBot="1">
      <c r="A99" s="181"/>
      <c r="B99" s="397" t="s">
        <v>405</v>
      </c>
      <c r="C99" s="398"/>
      <c r="D99" s="182">
        <f>D94+D78+D69+D65+D52+D42+D31+D20+D9</f>
        <v>23448561.96</v>
      </c>
      <c r="E99" s="183">
        <f>E94+E78+E69+E65+E42+E52+E31+E20+E9</f>
        <v>3758016.96</v>
      </c>
      <c r="F99" s="182">
        <f>F94+F78+F69+F65+F52+F42+F31+F20+F9</f>
        <v>0</v>
      </c>
      <c r="G99" s="183">
        <f>G94+G78+G69+G65+G52+G42+G31+G20+G9</f>
        <v>1647836.96</v>
      </c>
      <c r="H99" s="182">
        <f>H94+H78+H69+H65+H52+H42+H31+H20+H9</f>
        <v>1475000</v>
      </c>
      <c r="I99" s="182">
        <f>I94+I78+I69+I65+I52+I42+I31+I20+I9</f>
        <v>646180</v>
      </c>
      <c r="J99" s="182"/>
      <c r="K99" s="182"/>
      <c r="L99" s="178"/>
      <c r="M99" s="56"/>
    </row>
    <row r="100" spans="1:12" s="186" customFormat="1" ht="14.25" customHeight="1">
      <c r="A100" s="184"/>
      <c r="B100" s="36"/>
      <c r="C100" s="36"/>
      <c r="D100" s="37"/>
      <c r="E100" s="37"/>
      <c r="F100" s="36"/>
      <c r="G100" s="36"/>
      <c r="H100" s="37"/>
      <c r="I100" s="37"/>
      <c r="J100" s="36"/>
      <c r="K100" s="36"/>
      <c r="L100" s="185"/>
    </row>
    <row r="101" spans="5:9" ht="18.75" customHeight="1">
      <c r="E101" s="188"/>
      <c r="F101" s="188"/>
      <c r="H101" s="188">
        <f>H103-H99</f>
        <v>202000</v>
      </c>
      <c r="I101" s="188"/>
    </row>
    <row r="102" spans="5:11" ht="18.75" customHeight="1">
      <c r="E102" s="188">
        <v>4088266.96</v>
      </c>
      <c r="H102" s="188">
        <f>'[1]4'!H21</f>
        <v>2177000</v>
      </c>
      <c r="I102" s="189"/>
      <c r="K102" s="190"/>
    </row>
    <row r="103" spans="5:8" ht="18.75" customHeight="1">
      <c r="E103" s="188">
        <f>E99-E102</f>
        <v>-330250</v>
      </c>
      <c r="H103" s="188">
        <f>H102-500000</f>
        <v>1677000</v>
      </c>
    </row>
    <row r="104" ht="18.75" customHeight="1">
      <c r="F104" s="188"/>
    </row>
    <row r="109" ht="18.75" customHeight="1">
      <c r="F109" s="188"/>
    </row>
    <row r="110" ht="18.75" customHeight="1">
      <c r="E110" s="188"/>
    </row>
  </sheetData>
  <mergeCells count="91">
    <mergeCell ref="L88:L97"/>
    <mergeCell ref="A94:B94"/>
    <mergeCell ref="A95:B95"/>
    <mergeCell ref="A92:B92"/>
    <mergeCell ref="L70:L71"/>
    <mergeCell ref="L72:L73"/>
    <mergeCell ref="L74:L75"/>
    <mergeCell ref="L76:L77"/>
    <mergeCell ref="K84:K86"/>
    <mergeCell ref="L22:L29"/>
    <mergeCell ref="L46:L51"/>
    <mergeCell ref="L66:L67"/>
    <mergeCell ref="L53:L54"/>
    <mergeCell ref="L36:L40"/>
    <mergeCell ref="K38:K40"/>
    <mergeCell ref="K53:K54"/>
    <mergeCell ref="L82:L86"/>
    <mergeCell ref="L79:L80"/>
    <mergeCell ref="G57:I57"/>
    <mergeCell ref="G58:G60"/>
    <mergeCell ref="H58:H60"/>
    <mergeCell ref="F57:F60"/>
    <mergeCell ref="E36:E40"/>
    <mergeCell ref="F36:I36"/>
    <mergeCell ref="F37:F40"/>
    <mergeCell ref="F56:I56"/>
    <mergeCell ref="L11:L12"/>
    <mergeCell ref="B36:B40"/>
    <mergeCell ref="C36:C40"/>
    <mergeCell ref="G38:G40"/>
    <mergeCell ref="H38:H40"/>
    <mergeCell ref="A21:C21"/>
    <mergeCell ref="D36:D40"/>
    <mergeCell ref="L13:L17"/>
    <mergeCell ref="G37:I37"/>
    <mergeCell ref="I38:I40"/>
    <mergeCell ref="F82:I82"/>
    <mergeCell ref="F83:F86"/>
    <mergeCell ref="G83:I83"/>
    <mergeCell ref="G84:G86"/>
    <mergeCell ref="H84:H86"/>
    <mergeCell ref="I84:I86"/>
    <mergeCell ref="B82:B86"/>
    <mergeCell ref="C82:C86"/>
    <mergeCell ref="A74:C74"/>
    <mergeCell ref="E56:E60"/>
    <mergeCell ref="E82:E86"/>
    <mergeCell ref="B99:C99"/>
    <mergeCell ref="A66:C66"/>
    <mergeCell ref="A65:C65"/>
    <mergeCell ref="A79:C79"/>
    <mergeCell ref="A69:C69"/>
    <mergeCell ref="A78:C78"/>
    <mergeCell ref="A76:C76"/>
    <mergeCell ref="A70:C70"/>
    <mergeCell ref="A72:C72"/>
    <mergeCell ref="A82:A86"/>
    <mergeCell ref="A1:L1"/>
    <mergeCell ref="I5:I7"/>
    <mergeCell ref="L3:L7"/>
    <mergeCell ref="A3:A7"/>
    <mergeCell ref="G4:I4"/>
    <mergeCell ref="E3:E7"/>
    <mergeCell ref="G5:G7"/>
    <mergeCell ref="H5:H7"/>
    <mergeCell ref="F4:F7"/>
    <mergeCell ref="K5:K7"/>
    <mergeCell ref="D3:D7"/>
    <mergeCell ref="B3:B7"/>
    <mergeCell ref="C3:C7"/>
    <mergeCell ref="F3:I3"/>
    <mergeCell ref="A50:C50"/>
    <mergeCell ref="A9:C9"/>
    <mergeCell ref="A10:C10"/>
    <mergeCell ref="A20:C20"/>
    <mergeCell ref="A36:A40"/>
    <mergeCell ref="A31:C31"/>
    <mergeCell ref="A32:C32"/>
    <mergeCell ref="A45:C45"/>
    <mergeCell ref="A43:C43"/>
    <mergeCell ref="A42:C42"/>
    <mergeCell ref="K58:K60"/>
    <mergeCell ref="A52:C52"/>
    <mergeCell ref="A53:C53"/>
    <mergeCell ref="D82:D86"/>
    <mergeCell ref="D56:D60"/>
    <mergeCell ref="A62:C62"/>
    <mergeCell ref="A56:A60"/>
    <mergeCell ref="B56:B60"/>
    <mergeCell ref="C56:C60"/>
    <mergeCell ref="I58:I60"/>
  </mergeCells>
  <printOptions/>
  <pageMargins left="0.1968503937007874" right="0.15748031496062992" top="0.7480314960629921" bottom="0.31496062992125984" header="0.11811023622047245" footer="0.11811023622047245"/>
  <pageSetup horizontalDpi="600" verticalDpi="600" orientation="landscape" paperSize="9" scale="85" r:id="rId1"/>
  <headerFooter alignWithMargins="0">
    <oddHeader>&amp;R&amp;"Arial CE,Pogrubiony"Załącznik Nr &amp;A&amp;"Arial CE,Standardowy"
&amp;9do Uchwały Rady Gminy
Miłkowice Nr XLIV/243/2009  
z dnia  22 grudnia 2009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I16" sqref="I16"/>
    </sheetView>
  </sheetViews>
  <sheetFormatPr defaultColWidth="9.33203125" defaultRowHeight="12.75"/>
  <cols>
    <col min="1" max="1" width="5.5" style="192" bestFit="1" customWidth="1"/>
    <col min="2" max="2" width="29.66015625" style="192" customWidth="1"/>
    <col min="3" max="3" width="14" style="192" customWidth="1"/>
    <col min="4" max="4" width="4.5" style="192" customWidth="1"/>
    <col min="5" max="5" width="16.83203125" style="192" customWidth="1"/>
    <col min="6" max="6" width="16.33203125" style="192" customWidth="1"/>
    <col min="7" max="7" width="16.83203125" style="192" customWidth="1"/>
    <col min="8" max="8" width="14" style="192" customWidth="1"/>
    <col min="9" max="16384" width="10.66015625" style="192" customWidth="1"/>
  </cols>
  <sheetData>
    <row r="1" spans="1:7" ht="20.25" customHeight="1">
      <c r="A1" s="438" t="s">
        <v>406</v>
      </c>
      <c r="B1" s="438"/>
      <c r="C1" s="438"/>
      <c r="D1" s="438"/>
      <c r="E1" s="438"/>
      <c r="F1" s="438"/>
      <c r="G1" s="438"/>
    </row>
    <row r="2" spans="2:7" ht="27" customHeight="1">
      <c r="B2" s="444" t="s">
        <v>407</v>
      </c>
      <c r="C2" s="444"/>
      <c r="D2" s="444"/>
      <c r="E2" s="444"/>
      <c r="F2" s="444"/>
      <c r="G2" s="194"/>
    </row>
    <row r="3" spans="1:7" ht="18" customHeight="1">
      <c r="A3" s="193"/>
      <c r="B3" s="193"/>
      <c r="C3" s="193"/>
      <c r="D3" s="193"/>
      <c r="E3" s="193"/>
      <c r="F3" s="193"/>
      <c r="G3" s="193"/>
    </row>
    <row r="4" spans="1:7" ht="18" customHeight="1">
      <c r="A4" s="443" t="s">
        <v>408</v>
      </c>
      <c r="B4" s="443"/>
      <c r="C4" s="195"/>
      <c r="D4" s="195"/>
      <c r="E4" s="195"/>
      <c r="F4" s="324">
        <v>14335560.49</v>
      </c>
      <c r="G4" s="196" t="s">
        <v>409</v>
      </c>
    </row>
    <row r="5" spans="1:7" ht="18" customHeight="1">
      <c r="A5" s="443" t="s">
        <v>410</v>
      </c>
      <c r="B5" s="443"/>
      <c r="C5" s="195"/>
      <c r="D5" s="195"/>
      <c r="E5" s="195"/>
      <c r="F5" s="324">
        <v>17302989.49</v>
      </c>
      <c r="G5" s="196" t="s">
        <v>409</v>
      </c>
    </row>
    <row r="6" spans="1:7" ht="18" customHeight="1">
      <c r="A6" s="443" t="s">
        <v>411</v>
      </c>
      <c r="B6" s="443"/>
      <c r="C6" s="443"/>
      <c r="D6" s="195"/>
      <c r="E6" s="195"/>
      <c r="F6" s="197">
        <f>F4-F5</f>
        <v>-2967428.999999998</v>
      </c>
      <c r="G6" s="196" t="s">
        <v>409</v>
      </c>
    </row>
    <row r="7" ht="14.25" customHeight="1">
      <c r="A7" s="198"/>
    </row>
    <row r="8" spans="1:7" ht="14.25" customHeight="1">
      <c r="A8" s="431" t="s">
        <v>412</v>
      </c>
      <c r="B8" s="431"/>
      <c r="C8" s="431"/>
      <c r="D8" s="431"/>
      <c r="E8" s="431"/>
      <c r="F8" s="431"/>
      <c r="G8" s="431"/>
    </row>
    <row r="9" ht="8.25" customHeight="1">
      <c r="G9" s="199"/>
    </row>
    <row r="10" spans="1:7" ht="9.75" customHeight="1">
      <c r="A10" s="439" t="s">
        <v>295</v>
      </c>
      <c r="B10" s="454" t="s">
        <v>4</v>
      </c>
      <c r="C10" s="455"/>
      <c r="D10" s="455"/>
      <c r="E10" s="456"/>
      <c r="F10" s="440" t="s">
        <v>413</v>
      </c>
      <c r="G10" s="440" t="s">
        <v>414</v>
      </c>
    </row>
    <row r="11" spans="1:7" ht="9.75" customHeight="1">
      <c r="A11" s="439"/>
      <c r="B11" s="457"/>
      <c r="C11" s="458"/>
      <c r="D11" s="458"/>
      <c r="E11" s="459"/>
      <c r="F11" s="441"/>
      <c r="G11" s="441"/>
    </row>
    <row r="12" spans="1:7" ht="9.75" customHeight="1">
      <c r="A12" s="439"/>
      <c r="B12" s="460"/>
      <c r="C12" s="461"/>
      <c r="D12" s="461"/>
      <c r="E12" s="462"/>
      <c r="F12" s="442"/>
      <c r="G12" s="442"/>
    </row>
    <row r="13" spans="1:7" s="201" customFormat="1" ht="6.75" customHeight="1">
      <c r="A13" s="200">
        <v>1</v>
      </c>
      <c r="B13" s="466">
        <v>2</v>
      </c>
      <c r="C13" s="467"/>
      <c r="D13" s="467"/>
      <c r="E13" s="468"/>
      <c r="F13" s="200">
        <v>3</v>
      </c>
      <c r="G13" s="200">
        <v>4</v>
      </c>
    </row>
    <row r="14" spans="1:7" ht="18.75" customHeight="1">
      <c r="A14" s="445" t="s">
        <v>415</v>
      </c>
      <c r="B14" s="446"/>
      <c r="C14" s="446"/>
      <c r="D14" s="446"/>
      <c r="E14" s="447"/>
      <c r="F14" s="202"/>
      <c r="G14" s="203">
        <f>SUM(G15:G22)</f>
        <v>3795749</v>
      </c>
    </row>
    <row r="15" spans="1:7" ht="18.75" customHeight="1">
      <c r="A15" s="204" t="s">
        <v>416</v>
      </c>
      <c r="B15" s="448" t="s">
        <v>417</v>
      </c>
      <c r="C15" s="449"/>
      <c r="D15" s="449"/>
      <c r="E15" s="450"/>
      <c r="F15" s="204" t="s">
        <v>418</v>
      </c>
      <c r="G15" s="205">
        <v>500000</v>
      </c>
    </row>
    <row r="16" spans="1:8" ht="18.75" customHeight="1">
      <c r="A16" s="206" t="s">
        <v>419</v>
      </c>
      <c r="B16" s="435" t="s">
        <v>420</v>
      </c>
      <c r="C16" s="436"/>
      <c r="D16" s="436"/>
      <c r="E16" s="437"/>
      <c r="F16" s="206" t="s">
        <v>418</v>
      </c>
      <c r="G16" s="210">
        <f>85400+91600-47000</f>
        <v>130000</v>
      </c>
      <c r="H16" s="211"/>
    </row>
    <row r="17" spans="1:8" ht="27" customHeight="1">
      <c r="A17" s="206" t="s">
        <v>421</v>
      </c>
      <c r="B17" s="463" t="s">
        <v>422</v>
      </c>
      <c r="C17" s="464"/>
      <c r="D17" s="464"/>
      <c r="E17" s="465"/>
      <c r="F17" s="206" t="s">
        <v>423</v>
      </c>
      <c r="G17" s="210"/>
      <c r="H17" s="211"/>
    </row>
    <row r="18" spans="1:7" ht="18.75" customHeight="1">
      <c r="A18" s="206" t="s">
        <v>424</v>
      </c>
      <c r="B18" s="435" t="s">
        <v>425</v>
      </c>
      <c r="C18" s="436"/>
      <c r="D18" s="436"/>
      <c r="E18" s="437"/>
      <c r="F18" s="206" t="s">
        <v>426</v>
      </c>
      <c r="G18" s="210"/>
    </row>
    <row r="19" spans="1:7" ht="18.75" customHeight="1">
      <c r="A19" s="206" t="s">
        <v>427</v>
      </c>
      <c r="B19" s="435" t="s">
        <v>428</v>
      </c>
      <c r="C19" s="436"/>
      <c r="D19" s="436"/>
      <c r="E19" s="437"/>
      <c r="F19" s="206" t="s">
        <v>429</v>
      </c>
      <c r="G19" s="210"/>
    </row>
    <row r="20" spans="1:7" ht="18.75" customHeight="1">
      <c r="A20" s="206" t="s">
        <v>430</v>
      </c>
      <c r="B20" s="435" t="s">
        <v>431</v>
      </c>
      <c r="C20" s="436"/>
      <c r="D20" s="436"/>
      <c r="E20" s="437"/>
      <c r="F20" s="206" t="s">
        <v>432</v>
      </c>
      <c r="G20" s="210"/>
    </row>
    <row r="21" spans="1:8" ht="18.75" customHeight="1">
      <c r="A21" s="206" t="s">
        <v>433</v>
      </c>
      <c r="B21" s="435" t="s">
        <v>434</v>
      </c>
      <c r="C21" s="436"/>
      <c r="D21" s="436"/>
      <c r="E21" s="437"/>
      <c r="F21" s="206" t="s">
        <v>435</v>
      </c>
      <c r="G21" s="210">
        <v>1000000</v>
      </c>
      <c r="H21" s="211">
        <f>G21+G16+G15</f>
        <v>1630000</v>
      </c>
    </row>
    <row r="22" spans="1:7" ht="18.75" customHeight="1">
      <c r="A22" s="206" t="s">
        <v>436</v>
      </c>
      <c r="B22" s="432" t="s">
        <v>437</v>
      </c>
      <c r="C22" s="433"/>
      <c r="D22" s="433"/>
      <c r="E22" s="434"/>
      <c r="F22" s="212" t="s">
        <v>438</v>
      </c>
      <c r="G22" s="213">
        <f>1000000+600000+277749+288000</f>
        <v>2165749</v>
      </c>
    </row>
    <row r="23" spans="1:8" ht="18.75" customHeight="1">
      <c r="A23" s="445" t="s">
        <v>439</v>
      </c>
      <c r="B23" s="446"/>
      <c r="C23" s="446"/>
      <c r="D23" s="446"/>
      <c r="E23" s="447"/>
      <c r="F23" s="202"/>
      <c r="G23" s="203">
        <f>SUM(G24:G30)</f>
        <v>828320</v>
      </c>
      <c r="H23" s="211">
        <f>G14-G23</f>
        <v>2967429</v>
      </c>
    </row>
    <row r="24" spans="1:8" ht="18.75" customHeight="1">
      <c r="A24" s="204" t="s">
        <v>416</v>
      </c>
      <c r="B24" s="448" t="s">
        <v>440</v>
      </c>
      <c r="C24" s="449"/>
      <c r="D24" s="449"/>
      <c r="E24" s="450"/>
      <c r="F24" s="204" t="s">
        <v>441</v>
      </c>
      <c r="G24" s="205">
        <f>133200+150000</f>
        <v>283200</v>
      </c>
      <c r="H24" s="211"/>
    </row>
    <row r="25" spans="1:8" ht="18.75" customHeight="1">
      <c r="A25" s="206" t="s">
        <v>419</v>
      </c>
      <c r="B25" s="435" t="s">
        <v>442</v>
      </c>
      <c r="C25" s="436"/>
      <c r="D25" s="436"/>
      <c r="E25" s="437"/>
      <c r="F25" s="206" t="s">
        <v>441</v>
      </c>
      <c r="G25" s="210">
        <f>32120+34160+180440+48400</f>
        <v>295120</v>
      </c>
      <c r="H25" s="211"/>
    </row>
    <row r="26" spans="1:8" ht="29.25" customHeight="1">
      <c r="A26" s="206" t="s">
        <v>421</v>
      </c>
      <c r="B26" s="451" t="s">
        <v>443</v>
      </c>
      <c r="C26" s="452"/>
      <c r="D26" s="452"/>
      <c r="E26" s="453"/>
      <c r="F26" s="206" t="s">
        <v>444</v>
      </c>
      <c r="G26" s="210"/>
      <c r="H26" s="211"/>
    </row>
    <row r="27" spans="1:7" ht="18.75" customHeight="1">
      <c r="A27" s="206" t="s">
        <v>424</v>
      </c>
      <c r="B27" s="435" t="s">
        <v>445</v>
      </c>
      <c r="C27" s="436"/>
      <c r="D27" s="436"/>
      <c r="E27" s="437"/>
      <c r="F27" s="206" t="s">
        <v>446</v>
      </c>
      <c r="G27" s="210"/>
    </row>
    <row r="28" spans="1:7" ht="18.75" customHeight="1">
      <c r="A28" s="206" t="s">
        <v>427</v>
      </c>
      <c r="B28" s="435" t="s">
        <v>447</v>
      </c>
      <c r="C28" s="436"/>
      <c r="D28" s="436"/>
      <c r="E28" s="437"/>
      <c r="F28" s="206" t="s">
        <v>448</v>
      </c>
      <c r="G28" s="210"/>
    </row>
    <row r="29" spans="1:7" ht="18.75" customHeight="1">
      <c r="A29" s="206" t="s">
        <v>430</v>
      </c>
      <c r="B29" s="207" t="s">
        <v>449</v>
      </c>
      <c r="C29" s="208"/>
      <c r="D29" s="208"/>
      <c r="E29" s="209"/>
      <c r="F29" s="206" t="s">
        <v>450</v>
      </c>
      <c r="G29" s="210">
        <v>250000</v>
      </c>
    </row>
    <row r="30" spans="1:7" ht="18.75" customHeight="1">
      <c r="A30" s="212" t="s">
        <v>433</v>
      </c>
      <c r="B30" s="432" t="s">
        <v>451</v>
      </c>
      <c r="C30" s="433"/>
      <c r="D30" s="433"/>
      <c r="E30" s="434"/>
      <c r="F30" s="212" t="s">
        <v>452</v>
      </c>
      <c r="G30" s="213"/>
    </row>
    <row r="31" spans="1:7" ht="7.5" customHeight="1">
      <c r="A31" s="214"/>
      <c r="B31" s="215"/>
      <c r="C31" s="215"/>
      <c r="D31" s="215"/>
      <c r="E31" s="215"/>
      <c r="F31" s="215"/>
      <c r="G31" s="215"/>
    </row>
    <row r="32" spans="1:9" ht="12.75">
      <c r="A32" s="216"/>
      <c r="B32" s="217"/>
      <c r="C32" s="217"/>
      <c r="D32" s="217"/>
      <c r="E32" s="217"/>
      <c r="F32" s="217"/>
      <c r="G32" s="217"/>
      <c r="H32" s="218"/>
      <c r="I32" s="218"/>
    </row>
    <row r="33" spans="1:8" ht="18" customHeight="1">
      <c r="A33" s="192" t="s">
        <v>453</v>
      </c>
      <c r="B33" s="219"/>
      <c r="C33" s="220">
        <f>F4</f>
        <v>14335560.49</v>
      </c>
      <c r="D33" s="221"/>
      <c r="E33" s="192" t="s">
        <v>454</v>
      </c>
      <c r="G33" s="222">
        <f>F5</f>
        <v>17302989.49</v>
      </c>
      <c r="H33" s="223"/>
    </row>
    <row r="34" spans="1:7" ht="18" customHeight="1">
      <c r="A34" s="224" t="s">
        <v>455</v>
      </c>
      <c r="B34" s="224"/>
      <c r="C34" s="225">
        <f>G14</f>
        <v>3795749</v>
      </c>
      <c r="D34" s="226"/>
      <c r="E34" s="224" t="s">
        <v>456</v>
      </c>
      <c r="F34" s="224"/>
      <c r="G34" s="227">
        <f>G23</f>
        <v>828320</v>
      </c>
    </row>
    <row r="35" spans="1:8" ht="18" customHeight="1">
      <c r="A35" s="192" t="s">
        <v>457</v>
      </c>
      <c r="C35" s="228">
        <f>C33+C34</f>
        <v>18131309.490000002</v>
      </c>
      <c r="D35" s="229"/>
      <c r="E35" s="192" t="s">
        <v>457</v>
      </c>
      <c r="G35" s="222">
        <f>G33+G34</f>
        <v>18131309.49</v>
      </c>
      <c r="H35" s="211">
        <f>C35-G35</f>
        <v>0</v>
      </c>
    </row>
  </sheetData>
  <mergeCells count="27">
    <mergeCell ref="B21:E21"/>
    <mergeCell ref="B17:E17"/>
    <mergeCell ref="B16:E16"/>
    <mergeCell ref="B13:E13"/>
    <mergeCell ref="B18:E18"/>
    <mergeCell ref="B15:E15"/>
    <mergeCell ref="B20:E20"/>
    <mergeCell ref="A6:C6"/>
    <mergeCell ref="B30:E30"/>
    <mergeCell ref="A23:E23"/>
    <mergeCell ref="B24:E24"/>
    <mergeCell ref="B25:E25"/>
    <mergeCell ref="B26:E26"/>
    <mergeCell ref="B27:E27"/>
    <mergeCell ref="B28:E28"/>
    <mergeCell ref="A14:E14"/>
    <mergeCell ref="B10:E12"/>
    <mergeCell ref="A8:G8"/>
    <mergeCell ref="B22:E22"/>
    <mergeCell ref="B19:E19"/>
    <mergeCell ref="A1:G1"/>
    <mergeCell ref="A10:A12"/>
    <mergeCell ref="F10:F12"/>
    <mergeCell ref="G10:G12"/>
    <mergeCell ref="A4:B4"/>
    <mergeCell ref="A5:B5"/>
    <mergeCell ref="B2:F2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CE,Pogrubiony"&amp;9Załącznik nr &amp;A&amp;"Arial CE,Standardowy"
do Uchwały Rady Gminy Miłkowice Nr XLIV/243/2009
z dnia 22 grudnia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I8" sqref="I8"/>
    </sheetView>
  </sheetViews>
  <sheetFormatPr defaultColWidth="9.33203125" defaultRowHeight="12.75"/>
  <cols>
    <col min="1" max="1" width="4.83203125" style="310" customWidth="1"/>
    <col min="2" max="2" width="9.5" style="310" customWidth="1"/>
    <col min="3" max="3" width="11.66015625" style="310" customWidth="1"/>
    <col min="4" max="4" width="30.66015625" style="310" customWidth="1"/>
    <col min="5" max="5" width="32.83203125" style="310" customWidth="1"/>
    <col min="6" max="6" width="16.66015625" style="310" customWidth="1"/>
    <col min="7" max="16384" width="10.66015625" style="310" customWidth="1"/>
  </cols>
  <sheetData>
    <row r="1" spans="1:6" ht="19.5" customHeight="1">
      <c r="A1" s="472" t="s">
        <v>485</v>
      </c>
      <c r="B1" s="472"/>
      <c r="C1" s="472"/>
      <c r="D1" s="472"/>
      <c r="E1" s="472"/>
      <c r="F1" s="472"/>
    </row>
    <row r="2" spans="4:6" ht="9.75" customHeight="1">
      <c r="D2" s="311"/>
      <c r="E2" s="311"/>
      <c r="F2" s="311"/>
    </row>
    <row r="3" spans="4:6" ht="12" customHeight="1">
      <c r="D3" s="312"/>
      <c r="E3" s="312"/>
      <c r="F3" s="313" t="s">
        <v>294</v>
      </c>
    </row>
    <row r="4" spans="1:6" ht="19.5" customHeight="1">
      <c r="A4" s="474" t="s">
        <v>295</v>
      </c>
      <c r="B4" s="474" t="s">
        <v>1</v>
      </c>
      <c r="C4" s="474" t="s">
        <v>2</v>
      </c>
      <c r="D4" s="473" t="s">
        <v>486</v>
      </c>
      <c r="E4" s="473" t="s">
        <v>487</v>
      </c>
      <c r="F4" s="473" t="s">
        <v>488</v>
      </c>
    </row>
    <row r="5" spans="1:6" ht="19.5" customHeight="1">
      <c r="A5" s="474"/>
      <c r="B5" s="474"/>
      <c r="C5" s="474"/>
      <c r="D5" s="473"/>
      <c r="E5" s="473"/>
      <c r="F5" s="473"/>
    </row>
    <row r="6" spans="1:7" ht="19.5" customHeight="1">
      <c r="A6" s="474"/>
      <c r="B6" s="474"/>
      <c r="C6" s="474"/>
      <c r="D6" s="473"/>
      <c r="E6" s="473"/>
      <c r="F6" s="473"/>
      <c r="G6" s="314"/>
    </row>
    <row r="7" spans="1:6" ht="7.5" customHeight="1">
      <c r="A7" s="315">
        <v>1</v>
      </c>
      <c r="B7" s="315">
        <v>2</v>
      </c>
      <c r="C7" s="315">
        <v>3</v>
      </c>
      <c r="D7" s="315">
        <v>4</v>
      </c>
      <c r="E7" s="315">
        <v>5</v>
      </c>
      <c r="F7" s="315">
        <v>6</v>
      </c>
    </row>
    <row r="8" spans="1:6" ht="39.75">
      <c r="A8" s="316">
        <v>1</v>
      </c>
      <c r="B8" s="317">
        <v>400</v>
      </c>
      <c r="C8" s="317">
        <v>40002</v>
      </c>
      <c r="D8" s="318" t="s">
        <v>489</v>
      </c>
      <c r="E8" s="318" t="s">
        <v>493</v>
      </c>
      <c r="F8" s="475">
        <f>200000+22100</f>
        <v>222100</v>
      </c>
    </row>
    <row r="9" spans="1:6" ht="39.75">
      <c r="A9" s="316">
        <v>2</v>
      </c>
      <c r="B9" s="317">
        <v>400</v>
      </c>
      <c r="C9" s="317">
        <v>40002</v>
      </c>
      <c r="D9" s="318" t="s">
        <v>489</v>
      </c>
      <c r="E9" s="318" t="s">
        <v>494</v>
      </c>
      <c r="F9" s="476"/>
    </row>
    <row r="10" spans="1:6" ht="39.75">
      <c r="A10" s="316">
        <v>3</v>
      </c>
      <c r="B10" s="317">
        <v>400</v>
      </c>
      <c r="C10" s="317">
        <v>40002</v>
      </c>
      <c r="D10" s="318" t="s">
        <v>489</v>
      </c>
      <c r="E10" s="318" t="s">
        <v>495</v>
      </c>
      <c r="F10" s="475">
        <f>300000+18700</f>
        <v>318700</v>
      </c>
    </row>
    <row r="11" spans="1:6" ht="39.75">
      <c r="A11" s="316">
        <v>4</v>
      </c>
      <c r="B11" s="317">
        <v>400</v>
      </c>
      <c r="C11" s="317">
        <v>40002</v>
      </c>
      <c r="D11" s="318" t="s">
        <v>489</v>
      </c>
      <c r="E11" s="318" t="s">
        <v>496</v>
      </c>
      <c r="F11" s="476"/>
    </row>
    <row r="12" spans="1:6" ht="30" customHeight="1">
      <c r="A12" s="316">
        <v>5</v>
      </c>
      <c r="B12" s="317">
        <v>400</v>
      </c>
      <c r="C12" s="317">
        <v>40002</v>
      </c>
      <c r="D12" s="318" t="s">
        <v>489</v>
      </c>
      <c r="E12" s="318" t="s">
        <v>497</v>
      </c>
      <c r="F12" s="325">
        <v>25000</v>
      </c>
    </row>
    <row r="13" spans="1:6" ht="30" customHeight="1">
      <c r="A13" s="319">
        <v>6</v>
      </c>
      <c r="B13" s="320">
        <v>400</v>
      </c>
      <c r="C13" s="320">
        <v>40002</v>
      </c>
      <c r="D13" s="321" t="s">
        <v>489</v>
      </c>
      <c r="E13" s="321" t="s">
        <v>498</v>
      </c>
      <c r="F13" s="326">
        <v>40000</v>
      </c>
    </row>
    <row r="14" spans="1:6" ht="30" customHeight="1">
      <c r="A14" s="319">
        <v>7</v>
      </c>
      <c r="B14" s="320">
        <v>400</v>
      </c>
      <c r="C14" s="320">
        <v>40002</v>
      </c>
      <c r="D14" s="321" t="s">
        <v>489</v>
      </c>
      <c r="E14" s="321" t="s">
        <v>499</v>
      </c>
      <c r="F14" s="326">
        <v>86800</v>
      </c>
    </row>
    <row r="15" spans="1:6" ht="38.25">
      <c r="A15" s="319">
        <v>8</v>
      </c>
      <c r="B15" s="320">
        <v>400</v>
      </c>
      <c r="C15" s="320">
        <v>40002</v>
      </c>
      <c r="D15" s="321" t="s">
        <v>489</v>
      </c>
      <c r="E15" s="321" t="s">
        <v>490</v>
      </c>
      <c r="F15" s="326">
        <v>11000</v>
      </c>
    </row>
    <row r="16" spans="1:6" ht="30" customHeight="1" thickBot="1">
      <c r="A16" s="319">
        <v>9</v>
      </c>
      <c r="B16" s="320">
        <v>400</v>
      </c>
      <c r="C16" s="320">
        <v>40002</v>
      </c>
      <c r="D16" s="321" t="s">
        <v>489</v>
      </c>
      <c r="E16" s="321" t="s">
        <v>500</v>
      </c>
      <c r="F16" s="326">
        <v>9301</v>
      </c>
    </row>
    <row r="17" spans="1:6" s="312" customFormat="1" ht="30" customHeight="1" thickBot="1">
      <c r="A17" s="469" t="s">
        <v>491</v>
      </c>
      <c r="B17" s="470"/>
      <c r="C17" s="470"/>
      <c r="D17" s="471"/>
      <c r="E17" s="322"/>
      <c r="F17" s="327">
        <f>SUM(F8:F16)</f>
        <v>712901</v>
      </c>
    </row>
    <row r="20" ht="12.75">
      <c r="C20" s="323" t="s">
        <v>492</v>
      </c>
    </row>
  </sheetData>
  <mergeCells count="10">
    <mergeCell ref="A17:D17"/>
    <mergeCell ref="A1:F1"/>
    <mergeCell ref="F4:F6"/>
    <mergeCell ref="D4:D6"/>
    <mergeCell ref="E4:E6"/>
    <mergeCell ref="A4:A6"/>
    <mergeCell ref="B4:B6"/>
    <mergeCell ref="C4:C6"/>
    <mergeCell ref="F8:F9"/>
    <mergeCell ref="F10:F11"/>
  </mergeCells>
  <printOptions horizontalCentered="1"/>
  <pageMargins left="0.3937007874015748" right="0.3937007874015748" top="1.3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CE,Pogrubiony"&amp;9Załącznik nr &amp;A&amp;"Arial CE,Standardowy"
do Uchwały Rady Gminy Miłkowice Nr XLIV/243/2009  
z dnia 22 grudnia 2009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J38" sqref="J38"/>
    </sheetView>
  </sheetViews>
  <sheetFormatPr defaultColWidth="9.33203125" defaultRowHeight="12.75"/>
  <cols>
    <col min="1" max="1" width="7" style="230" customWidth="1"/>
    <col min="2" max="2" width="10.66015625" style="230" customWidth="1"/>
    <col min="3" max="3" width="49.33203125" style="230" customWidth="1"/>
    <col min="4" max="4" width="14.16015625" style="230" customWidth="1"/>
    <col min="5" max="5" width="16.16015625" style="230" customWidth="1"/>
    <col min="6" max="6" width="13.33203125" style="230" customWidth="1"/>
    <col min="7" max="7" width="13.5" style="230" customWidth="1"/>
    <col min="8" max="16384" width="10.66015625" style="230" customWidth="1"/>
  </cols>
  <sheetData>
    <row r="1" spans="3:4" ht="5.25" customHeight="1">
      <c r="C1" s="231"/>
      <c r="D1" s="231"/>
    </row>
    <row r="2" spans="1:7" ht="15.75">
      <c r="A2" s="483" t="s">
        <v>458</v>
      </c>
      <c r="B2" s="483"/>
      <c r="C2" s="483"/>
      <c r="D2" s="483"/>
      <c r="E2" s="483"/>
      <c r="F2" s="483"/>
      <c r="G2" s="483"/>
    </row>
    <row r="3" spans="1:7" ht="15.75">
      <c r="A3" s="483" t="s">
        <v>459</v>
      </c>
      <c r="B3" s="483"/>
      <c r="C3" s="483"/>
      <c r="D3" s="483"/>
      <c r="E3" s="483"/>
      <c r="F3" s="483"/>
      <c r="G3" s="483"/>
    </row>
    <row r="4" spans="1:7" ht="15.75">
      <c r="A4" s="484" t="s">
        <v>460</v>
      </c>
      <c r="B4" s="484"/>
      <c r="C4" s="484"/>
      <c r="D4" s="484"/>
      <c r="E4" s="484"/>
      <c r="F4" s="484"/>
      <c r="G4" s="484"/>
    </row>
    <row r="5" spans="1:7" ht="8.25" customHeight="1" thickBot="1">
      <c r="A5" s="232"/>
      <c r="B5" s="232"/>
      <c r="C5" s="232"/>
      <c r="D5" s="232"/>
      <c r="E5" s="232"/>
      <c r="F5" s="232"/>
      <c r="G5" s="232"/>
    </row>
    <row r="6" spans="1:7" ht="24.75" customHeight="1" thickBot="1">
      <c r="A6" s="233" t="s">
        <v>461</v>
      </c>
      <c r="B6" s="234" t="s">
        <v>462</v>
      </c>
      <c r="C6" s="234" t="s">
        <v>463</v>
      </c>
      <c r="D6" s="235" t="s">
        <v>464</v>
      </c>
      <c r="E6" s="234" t="s">
        <v>465</v>
      </c>
      <c r="F6" s="234" t="s">
        <v>466</v>
      </c>
      <c r="G6" s="236" t="s">
        <v>467</v>
      </c>
    </row>
    <row r="7" spans="1:7" ht="18" customHeight="1">
      <c r="A7" s="477" t="s">
        <v>465</v>
      </c>
      <c r="B7" s="478"/>
      <c r="C7" s="479"/>
      <c r="D7" s="237">
        <f>SUM(D8)</f>
        <v>20981.9</v>
      </c>
      <c r="E7" s="237">
        <f>SUM(E8)</f>
        <v>190600</v>
      </c>
      <c r="F7" s="238"/>
      <c r="G7" s="239"/>
    </row>
    <row r="8" spans="1:7" ht="15.75" customHeight="1">
      <c r="A8" s="240" t="s">
        <v>156</v>
      </c>
      <c r="B8" s="241"/>
      <c r="C8" s="242" t="s">
        <v>157</v>
      </c>
      <c r="D8" s="243">
        <f>D17+D18</f>
        <v>20981.9</v>
      </c>
      <c r="E8" s="243">
        <f>E17+E18</f>
        <v>190600</v>
      </c>
      <c r="F8" s="244"/>
      <c r="G8" s="245"/>
    </row>
    <row r="9" spans="1:8" ht="17.25" customHeight="1">
      <c r="A9" s="246" t="s">
        <v>156</v>
      </c>
      <c r="B9" s="247" t="s">
        <v>468</v>
      </c>
      <c r="C9" s="248" t="s">
        <v>469</v>
      </c>
      <c r="D9" s="249">
        <v>3312.16</v>
      </c>
      <c r="E9" s="250">
        <f>SUM(E10:E12)</f>
        <v>20100</v>
      </c>
      <c r="F9" s="251"/>
      <c r="G9" s="252"/>
      <c r="H9" s="253"/>
    </row>
    <row r="10" spans="1:7" ht="15.75" customHeight="1">
      <c r="A10" s="254"/>
      <c r="B10" s="255"/>
      <c r="C10" s="256" t="s">
        <v>470</v>
      </c>
      <c r="D10" s="257"/>
      <c r="E10" s="258">
        <v>600</v>
      </c>
      <c r="F10" s="259"/>
      <c r="G10" s="260"/>
    </row>
    <row r="11" spans="1:7" ht="15.75" customHeight="1">
      <c r="A11" s="254"/>
      <c r="B11" s="255"/>
      <c r="C11" s="261" t="s">
        <v>471</v>
      </c>
      <c r="D11" s="262"/>
      <c r="E11" s="263">
        <v>4500</v>
      </c>
      <c r="F11" s="264"/>
      <c r="G11" s="265"/>
    </row>
    <row r="12" spans="1:7" ht="15.75" customHeight="1">
      <c r="A12" s="254"/>
      <c r="B12" s="255"/>
      <c r="C12" s="266" t="s">
        <v>472</v>
      </c>
      <c r="D12" s="267"/>
      <c r="E12" s="268">
        <v>15000</v>
      </c>
      <c r="F12" s="269"/>
      <c r="G12" s="270"/>
    </row>
    <row r="13" spans="1:8" ht="25.5">
      <c r="A13" s="246" t="s">
        <v>156</v>
      </c>
      <c r="B13" s="247" t="s">
        <v>468</v>
      </c>
      <c r="C13" s="271" t="s">
        <v>473</v>
      </c>
      <c r="D13" s="272">
        <v>13674.95</v>
      </c>
      <c r="E13" s="273">
        <f>SUM(E14:E16)</f>
        <v>69500</v>
      </c>
      <c r="F13" s="244"/>
      <c r="G13" s="245"/>
      <c r="H13" s="253"/>
    </row>
    <row r="14" spans="1:7" ht="15.75" customHeight="1" hidden="1">
      <c r="A14" s="254"/>
      <c r="B14" s="255"/>
      <c r="C14" s="256" t="s">
        <v>470</v>
      </c>
      <c r="D14" s="257"/>
      <c r="E14" s="258"/>
      <c r="F14" s="259"/>
      <c r="G14" s="260"/>
    </row>
    <row r="15" spans="1:7" ht="15.75" customHeight="1">
      <c r="A15" s="254"/>
      <c r="B15" s="255"/>
      <c r="C15" s="261" t="s">
        <v>471</v>
      </c>
      <c r="D15" s="262"/>
      <c r="E15" s="263">
        <v>4500</v>
      </c>
      <c r="F15" s="264"/>
      <c r="G15" s="265"/>
    </row>
    <row r="16" spans="1:7" ht="15.75" customHeight="1">
      <c r="A16" s="254"/>
      <c r="B16" s="255"/>
      <c r="C16" s="274" t="s">
        <v>472</v>
      </c>
      <c r="D16" s="267"/>
      <c r="E16" s="275">
        <v>65000</v>
      </c>
      <c r="F16" s="269"/>
      <c r="G16" s="270"/>
    </row>
    <row r="17" spans="1:7" ht="15.75" customHeight="1">
      <c r="A17" s="276"/>
      <c r="B17" s="277"/>
      <c r="C17" s="278" t="s">
        <v>474</v>
      </c>
      <c r="D17" s="279">
        <f>D9+D13</f>
        <v>16987.11</v>
      </c>
      <c r="E17" s="279">
        <f>E9+E13</f>
        <v>89600</v>
      </c>
      <c r="F17" s="244"/>
      <c r="G17" s="280"/>
    </row>
    <row r="18" spans="1:8" ht="25.5">
      <c r="A18" s="246" t="s">
        <v>156</v>
      </c>
      <c r="B18" s="247" t="s">
        <v>475</v>
      </c>
      <c r="C18" s="271" t="s">
        <v>473</v>
      </c>
      <c r="D18" s="281">
        <v>3994.79</v>
      </c>
      <c r="E18" s="282">
        <f>SUM(E19:E21)</f>
        <v>101000</v>
      </c>
      <c r="F18" s="283"/>
      <c r="G18" s="260"/>
      <c r="H18" s="253"/>
    </row>
    <row r="19" spans="1:7" ht="15.75" customHeight="1">
      <c r="A19" s="254"/>
      <c r="B19" s="255"/>
      <c r="C19" s="256" t="s">
        <v>470</v>
      </c>
      <c r="D19" s="257"/>
      <c r="E19" s="258">
        <v>10000</v>
      </c>
      <c r="F19" s="259"/>
      <c r="G19" s="260"/>
    </row>
    <row r="20" spans="1:7" ht="15.75" customHeight="1">
      <c r="A20" s="254"/>
      <c r="B20" s="255"/>
      <c r="C20" s="261" t="s">
        <v>471</v>
      </c>
      <c r="D20" s="262"/>
      <c r="E20" s="263">
        <v>6000</v>
      </c>
      <c r="F20" s="264"/>
      <c r="G20" s="265"/>
    </row>
    <row r="21" spans="1:7" ht="15.75" customHeight="1">
      <c r="A21" s="254"/>
      <c r="B21" s="255"/>
      <c r="C21" s="266" t="s">
        <v>476</v>
      </c>
      <c r="D21" s="267"/>
      <c r="E21" s="268">
        <v>85000</v>
      </c>
      <c r="F21" s="269"/>
      <c r="G21" s="270"/>
    </row>
    <row r="22" spans="1:7" ht="8.25" customHeight="1">
      <c r="A22" s="284"/>
      <c r="B22" s="285"/>
      <c r="C22" s="286"/>
      <c r="D22" s="287"/>
      <c r="E22" s="288"/>
      <c r="F22" s="289"/>
      <c r="G22" s="245"/>
    </row>
    <row r="23" spans="1:7" ht="15" customHeight="1">
      <c r="A23" s="485" t="s">
        <v>466</v>
      </c>
      <c r="B23" s="486"/>
      <c r="C23" s="487"/>
      <c r="D23" s="290"/>
      <c r="E23" s="291"/>
      <c r="F23" s="237">
        <f>F24</f>
        <v>211581.90000000002</v>
      </c>
      <c r="G23" s="292">
        <f>G24</f>
        <v>0</v>
      </c>
    </row>
    <row r="24" spans="1:7" ht="15.75" customHeight="1">
      <c r="A24" s="240" t="s">
        <v>156</v>
      </c>
      <c r="B24" s="241"/>
      <c r="C24" s="242" t="s">
        <v>157</v>
      </c>
      <c r="D24" s="293"/>
      <c r="E24" s="244"/>
      <c r="F24" s="243">
        <f>F37+F38</f>
        <v>211581.90000000002</v>
      </c>
      <c r="G24" s="294">
        <f>G37+G38</f>
        <v>0</v>
      </c>
    </row>
    <row r="25" spans="1:7" ht="16.5" customHeight="1">
      <c r="A25" s="246" t="s">
        <v>156</v>
      </c>
      <c r="B25" s="247" t="s">
        <v>468</v>
      </c>
      <c r="C25" s="248" t="s">
        <v>469</v>
      </c>
      <c r="D25" s="295"/>
      <c r="E25" s="251"/>
      <c r="F25" s="296">
        <f>SUM(F26:F30)</f>
        <v>23412.16</v>
      </c>
      <c r="G25" s="252">
        <f>SUM(G26:G29)</f>
        <v>0</v>
      </c>
    </row>
    <row r="26" spans="1:7" ht="15.75" customHeight="1">
      <c r="A26" s="254"/>
      <c r="B26" s="255"/>
      <c r="C26" s="297" t="s">
        <v>477</v>
      </c>
      <c r="D26" s="298"/>
      <c r="E26" s="299"/>
      <c r="F26" s="300">
        <v>7112.16</v>
      </c>
      <c r="G26" s="301"/>
    </row>
    <row r="27" spans="1:7" ht="15.75" customHeight="1">
      <c r="A27" s="254"/>
      <c r="B27" s="255"/>
      <c r="C27" s="261" t="s">
        <v>478</v>
      </c>
      <c r="D27" s="262"/>
      <c r="E27" s="263"/>
      <c r="F27" s="264">
        <v>4500</v>
      </c>
      <c r="G27" s="265"/>
    </row>
    <row r="28" spans="1:7" ht="15.75" customHeight="1">
      <c r="A28" s="254"/>
      <c r="B28" s="255"/>
      <c r="C28" s="261" t="s">
        <v>479</v>
      </c>
      <c r="D28" s="262"/>
      <c r="E28" s="263"/>
      <c r="F28" s="264">
        <v>1500</v>
      </c>
      <c r="G28" s="265"/>
    </row>
    <row r="29" spans="1:7" ht="15.75" customHeight="1">
      <c r="A29" s="254"/>
      <c r="B29" s="255"/>
      <c r="C29" s="261" t="s">
        <v>480</v>
      </c>
      <c r="D29" s="262"/>
      <c r="E29" s="263"/>
      <c r="F29" s="264">
        <v>8000</v>
      </c>
      <c r="G29" s="265"/>
    </row>
    <row r="30" spans="1:7" ht="15.75" customHeight="1">
      <c r="A30" s="254"/>
      <c r="B30" s="255"/>
      <c r="C30" s="266" t="s">
        <v>501</v>
      </c>
      <c r="D30" s="267"/>
      <c r="E30" s="268"/>
      <c r="F30" s="269">
        <v>2300</v>
      </c>
      <c r="G30" s="270"/>
    </row>
    <row r="31" spans="1:7" ht="25.5">
      <c r="A31" s="246" t="s">
        <v>156</v>
      </c>
      <c r="B31" s="247" t="s">
        <v>468</v>
      </c>
      <c r="C31" s="271" t="s">
        <v>473</v>
      </c>
      <c r="D31" s="302"/>
      <c r="E31" s="296"/>
      <c r="F31" s="296">
        <f>SUM(F32:F36)</f>
        <v>83174.95</v>
      </c>
      <c r="G31" s="303">
        <f>SUM(G32:G36)</f>
        <v>0</v>
      </c>
    </row>
    <row r="32" spans="1:7" ht="15.75" customHeight="1">
      <c r="A32" s="254"/>
      <c r="B32" s="255"/>
      <c r="C32" s="256" t="s">
        <v>477</v>
      </c>
      <c r="D32" s="257"/>
      <c r="E32" s="258"/>
      <c r="F32" s="259">
        <v>15000</v>
      </c>
      <c r="G32" s="260"/>
    </row>
    <row r="33" spans="1:7" ht="15.75" customHeight="1">
      <c r="A33" s="254"/>
      <c r="B33" s="255"/>
      <c r="C33" s="261" t="s">
        <v>478</v>
      </c>
      <c r="D33" s="262"/>
      <c r="E33" s="263"/>
      <c r="F33" s="264">
        <v>1500</v>
      </c>
      <c r="G33" s="265"/>
    </row>
    <row r="34" spans="1:7" ht="15.75" customHeight="1">
      <c r="A34" s="254"/>
      <c r="B34" s="255"/>
      <c r="C34" s="261" t="s">
        <v>479</v>
      </c>
      <c r="D34" s="262"/>
      <c r="E34" s="263"/>
      <c r="F34" s="264">
        <v>8000</v>
      </c>
      <c r="G34" s="265"/>
    </row>
    <row r="35" spans="1:7" ht="15.75" customHeight="1">
      <c r="A35" s="254"/>
      <c r="B35" s="255"/>
      <c r="C35" s="261" t="s">
        <v>480</v>
      </c>
      <c r="D35" s="262"/>
      <c r="E35" s="263"/>
      <c r="F35" s="264">
        <v>42274.95</v>
      </c>
      <c r="G35" s="265"/>
    </row>
    <row r="36" spans="1:7" ht="15.75" customHeight="1">
      <c r="A36" s="254"/>
      <c r="B36" s="255"/>
      <c r="C36" s="266" t="s">
        <v>501</v>
      </c>
      <c r="D36" s="267"/>
      <c r="E36" s="268"/>
      <c r="F36" s="269">
        <v>16400</v>
      </c>
      <c r="G36" s="270"/>
    </row>
    <row r="37" spans="1:7" ht="15.75" customHeight="1">
      <c r="A37" s="276"/>
      <c r="B37" s="277"/>
      <c r="C37" s="278" t="s">
        <v>474</v>
      </c>
      <c r="D37" s="279"/>
      <c r="E37" s="279"/>
      <c r="F37" s="279">
        <f>F25+F31</f>
        <v>106587.11</v>
      </c>
      <c r="G37" s="304">
        <f>G27+G32</f>
        <v>0</v>
      </c>
    </row>
    <row r="38" spans="1:8" ht="25.5">
      <c r="A38" s="246" t="s">
        <v>156</v>
      </c>
      <c r="B38" s="247" t="s">
        <v>475</v>
      </c>
      <c r="C38" s="271" t="s">
        <v>473</v>
      </c>
      <c r="D38" s="302"/>
      <c r="E38" s="296"/>
      <c r="F38" s="296">
        <f>SUM(F39:F43)</f>
        <v>104994.79000000001</v>
      </c>
      <c r="G38" s="303">
        <f>SUM(G39:G43)</f>
        <v>0</v>
      </c>
      <c r="H38" s="253"/>
    </row>
    <row r="39" spans="1:7" ht="15.75" customHeight="1">
      <c r="A39" s="254"/>
      <c r="B39" s="255"/>
      <c r="C39" s="256" t="s">
        <v>477</v>
      </c>
      <c r="D39" s="257"/>
      <c r="E39" s="258"/>
      <c r="F39" s="259">
        <v>20000</v>
      </c>
      <c r="G39" s="260"/>
    </row>
    <row r="40" spans="1:7" ht="15.75" customHeight="1">
      <c r="A40" s="254"/>
      <c r="B40" s="255"/>
      <c r="C40" s="261" t="s">
        <v>478</v>
      </c>
      <c r="D40" s="262"/>
      <c r="E40" s="263"/>
      <c r="F40" s="264">
        <v>1100</v>
      </c>
      <c r="G40" s="265"/>
    </row>
    <row r="41" spans="1:7" ht="15.75" customHeight="1">
      <c r="A41" s="254"/>
      <c r="B41" s="255"/>
      <c r="C41" s="261" t="s">
        <v>479</v>
      </c>
      <c r="D41" s="262"/>
      <c r="E41" s="263"/>
      <c r="F41" s="264">
        <v>8000</v>
      </c>
      <c r="G41" s="265"/>
    </row>
    <row r="42" spans="1:7" ht="15.75" customHeight="1">
      <c r="A42" s="254"/>
      <c r="B42" s="255"/>
      <c r="C42" s="261" t="s">
        <v>481</v>
      </c>
      <c r="D42" s="262"/>
      <c r="E42" s="263"/>
      <c r="F42" s="264">
        <v>38555</v>
      </c>
      <c r="G42" s="265"/>
    </row>
    <row r="43" spans="1:7" ht="15.75" customHeight="1" thickBot="1">
      <c r="A43" s="254"/>
      <c r="B43" s="255"/>
      <c r="C43" s="266" t="s">
        <v>480</v>
      </c>
      <c r="D43" s="267"/>
      <c r="E43" s="268"/>
      <c r="F43" s="269">
        <v>37339.79</v>
      </c>
      <c r="G43" s="270"/>
    </row>
    <row r="44" spans="1:7" ht="24.75" customHeight="1" thickBot="1">
      <c r="A44" s="481" t="s">
        <v>482</v>
      </c>
      <c r="B44" s="482"/>
      <c r="C44" s="482"/>
      <c r="D44" s="305" t="s">
        <v>483</v>
      </c>
      <c r="E44" s="306">
        <f>E8+D8</f>
        <v>211581.9</v>
      </c>
      <c r="F44" s="305" t="s">
        <v>484</v>
      </c>
      <c r="G44" s="307">
        <f>F23+G23</f>
        <v>211581.90000000002</v>
      </c>
    </row>
    <row r="45" spans="1:7" ht="12.75">
      <c r="A45" s="308"/>
      <c r="B45" s="308"/>
      <c r="E45" s="309"/>
      <c r="F45" s="309"/>
      <c r="G45" s="309"/>
    </row>
    <row r="47" spans="3:7" ht="25.5" customHeight="1">
      <c r="C47" s="480"/>
      <c r="D47" s="480"/>
      <c r="E47" s="480"/>
      <c r="F47" s="480"/>
      <c r="G47" s="480"/>
    </row>
  </sheetData>
  <mergeCells count="7">
    <mergeCell ref="A7:C7"/>
    <mergeCell ref="C47:G47"/>
    <mergeCell ref="A44:C44"/>
    <mergeCell ref="A2:G2"/>
    <mergeCell ref="A3:G3"/>
    <mergeCell ref="A4:G4"/>
    <mergeCell ref="A23:C23"/>
  </mergeCells>
  <printOptions horizontalCentered="1"/>
  <pageMargins left="0.7874015748031497" right="0.7874015748031497" top="1.09" bottom="0.5905511811023623" header="0.5" footer="0.5118110236220472"/>
  <pageSetup fitToHeight="1" fitToWidth="1" horizontalDpi="300" verticalDpi="300" orientation="portrait" paperSize="9" scale="87" r:id="rId1"/>
  <headerFooter alignWithMargins="0">
    <oddHeader>&amp;R&amp;"Arial CE,Pogrubiony"&amp;9Załącznik Nr &amp;A&amp;"Arial CE,Standardowy"
do Uchwały Rady Gminy Miłkowice Nr XLIV/243/2009 
z dnia 22 grudnia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2009-12-22T12:20:23Z</cp:lastPrinted>
  <dcterms:modified xsi:type="dcterms:W3CDTF">2009-12-22T07:20:14Z</dcterms:modified>
  <cp:category/>
  <cp:version/>
  <cp:contentType/>
  <cp:contentStatus/>
</cp:coreProperties>
</file>