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80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externalReferences>
    <externalReference r:id="rId17"/>
  </externalReferences>
  <definedNames>
    <definedName name="_xlnm.Print_Area" localSheetId="0">'1'!$A$1:$P$163</definedName>
    <definedName name="_xlnm.Print_Area" localSheetId="2">'3'!$A$1:$L$103</definedName>
    <definedName name="_xlnm.Print_Area" localSheetId="3">'4'!$A$1:$J$213</definedName>
    <definedName name="_xlnm.Print_Area" localSheetId="4">'5'!$A$1:$K$114</definedName>
    <definedName name="_xlnm.Print_Area" localSheetId="5">'6'!$A$1:$G$35</definedName>
    <definedName name="_xlnm.Print_Area" localSheetId="6">'7'!$A$1:$K$33</definedName>
  </definedNames>
  <calcPr fullCalcOnLoad="1"/>
</workbook>
</file>

<file path=xl/sharedStrings.xml><?xml version="1.0" encoding="utf-8"?>
<sst xmlns="http://schemas.openxmlformats.org/spreadsheetml/2006/main" count="1565" uniqueCount="732">
  <si>
    <t xml:space="preserve"> *) Ze względu na wymogi zawarte w Programie Rozwoju Obszarów Wiejskich dotyczących kwestii finansowania inwestycji zalecono aby w źródłach finansowania wykazać w 100% posiadanie środków własnych. W związku z powyższym w tabeli w wyżej wymienionych pozycjach nie wykazano źródła finansowania ze środków z Unii Europejskiej. Jednocześnie należy podkreślić że  w ramach tych programów można otrzymać dofinansowanie do 75 % kosztów kwalifikowanych.</t>
  </si>
  <si>
    <t>Uzupełnienie powyższego zestawienia :</t>
  </si>
  <si>
    <t>Razem</t>
  </si>
  <si>
    <r>
      <t xml:space="preserve">Program:  </t>
    </r>
    <r>
      <rPr>
        <sz val="10"/>
        <rFont val="Arial"/>
        <family val="2"/>
      </rPr>
      <t xml:space="preserve">Regionalny Program Operacyjny  </t>
    </r>
  </si>
  <si>
    <r>
      <t xml:space="preserve">Działanie 4.2 </t>
    </r>
    <r>
      <rPr>
        <sz val="10"/>
        <rFont val="Arial"/>
        <family val="2"/>
      </rPr>
      <t>Infrastruktura wodno -ściekowa</t>
    </r>
  </si>
  <si>
    <r>
      <t xml:space="preserve">Program: </t>
    </r>
    <r>
      <rPr>
        <sz val="10"/>
        <rFont val="Arial"/>
        <family val="2"/>
      </rPr>
      <t>Regionalny Program Operacyjny</t>
    </r>
  </si>
  <si>
    <t>wartość zadania ogółem:</t>
  </si>
  <si>
    <t>dotychczas poniesione nakłady</t>
  </si>
  <si>
    <r>
      <t xml:space="preserve">Działanie:4.2 </t>
    </r>
    <r>
      <rPr>
        <sz val="10"/>
        <rFont val="Arial"/>
        <family val="2"/>
      </rPr>
      <t>Infrastruktura wodno - ściekowa</t>
    </r>
  </si>
  <si>
    <r>
      <t xml:space="preserve">Nazwa Projektu: </t>
    </r>
    <r>
      <rPr>
        <i/>
        <sz val="10"/>
        <color indexed="8"/>
        <rFont val="Arial"/>
        <family val="2"/>
      </rPr>
      <t>Budowa sieci kanalizacji sanitarnej wraz z przyłączami na terenie gminy Miłkowice dla miejscowości Ulesie i Lipce.</t>
    </r>
  </si>
  <si>
    <r>
      <t>Nazwa Projektu :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Budowa sieci  kanalizacji sanitarnej wraz z przyłączami dla miejscowości Gniewomirowice, Goślinów.</t>
    </r>
  </si>
  <si>
    <r>
      <t xml:space="preserve">Nazwa Projektu: </t>
    </r>
    <r>
      <rPr>
        <i/>
        <sz val="10"/>
        <color indexed="8"/>
        <rFont val="Arial"/>
        <family val="2"/>
      </rPr>
      <t>Budowa sieci  kanalizacji sanitarnej wraz z przyłączami dla miejscowości Jezierzany, Jakuszów, Pątnówek i Bobrów</t>
    </r>
  </si>
  <si>
    <r>
      <t xml:space="preserve">Program: </t>
    </r>
    <r>
      <rPr>
        <sz val="10"/>
        <rFont val="Arial"/>
        <family val="2"/>
      </rPr>
      <t>Program Rozwoju Obszarów Wiejskich</t>
    </r>
  </si>
  <si>
    <r>
      <t xml:space="preserve">Oś 3: </t>
    </r>
    <r>
      <rPr>
        <sz val="10"/>
        <rFont val="Arial"/>
        <family val="2"/>
      </rPr>
      <t>Podstawowe usługi dla gospodarki i ludności wiejskiej</t>
    </r>
  </si>
  <si>
    <r>
      <t>Działanie:</t>
    </r>
    <r>
      <rPr>
        <sz val="10"/>
        <rFont val="Arial"/>
        <family val="2"/>
      </rPr>
      <t xml:space="preserve"> Obszary wiejskie</t>
    </r>
  </si>
  <si>
    <r>
      <t xml:space="preserve">Nazwa projektu: </t>
    </r>
    <r>
      <rPr>
        <i/>
        <sz val="10"/>
        <color indexed="8"/>
        <rFont val="Arial"/>
        <family val="2"/>
      </rPr>
      <t>Budowa wodociągowu tranzytowego Niedźwiedzice-Miłkowice oraz udział w budowie Stacji uzdatniania Wody w Okmianach</t>
    </r>
  </si>
  <si>
    <t>w tys. złotych</t>
  </si>
  <si>
    <r>
      <t xml:space="preserve">Oś 3  : </t>
    </r>
    <r>
      <rPr>
        <sz val="10"/>
        <rFont val="Arial"/>
        <family val="2"/>
      </rPr>
      <t>Podstawowe usługi dla gospodarki i ludności wiejskiej</t>
    </r>
  </si>
  <si>
    <r>
      <t xml:space="preserve">Nazwa Projektu: </t>
    </r>
    <r>
      <rPr>
        <i/>
        <sz val="10"/>
        <color indexed="8"/>
        <rFont val="Arial"/>
        <family val="2"/>
      </rPr>
      <t>Modernizacja oczyszczalni ścieków w Miłkowicach z remontem sieci wodociagowej - I etap Modernizacja oczyszczalni scieków w Miłkowicach</t>
    </r>
  </si>
  <si>
    <t>010,01010</t>
  </si>
  <si>
    <t>921,92109</t>
  </si>
  <si>
    <t>921,92116</t>
  </si>
  <si>
    <t>926,92601</t>
  </si>
  <si>
    <t>801,80101</t>
  </si>
  <si>
    <t>900,90005</t>
  </si>
  <si>
    <t>600,60016</t>
  </si>
  <si>
    <t>900,90004</t>
  </si>
  <si>
    <r>
      <t xml:space="preserve">Nazwa Projektu: </t>
    </r>
    <r>
      <rPr>
        <i/>
        <sz val="10"/>
        <color indexed="8"/>
        <rFont val="Arial"/>
        <family val="2"/>
      </rPr>
      <t>Utworzenie centrum Edukacyjno - kulturalnego w Ulesiu</t>
    </r>
  </si>
  <si>
    <r>
      <t xml:space="preserve">Program: </t>
    </r>
    <r>
      <rPr>
        <sz val="10"/>
        <rFont val="Arial"/>
        <family val="2"/>
      </rPr>
      <t xml:space="preserve">Regionalny Program Operacyjny     </t>
    </r>
  </si>
  <si>
    <r>
      <t xml:space="preserve">Działanie 8.1 </t>
    </r>
    <r>
      <rPr>
        <sz val="10"/>
        <rFont val="Arial"/>
        <family val="2"/>
      </rPr>
      <t>Poprawa jakości opieki zdrowotnej</t>
    </r>
  </si>
  <si>
    <r>
      <t>Nazwa Projektu: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Budowa Gminnego Ośrodka Zdrowia w Miłkowicach wraz z zakupem wyposażenia i zagospodarowaniem placu.</t>
    </r>
  </si>
  <si>
    <r>
      <t>Priorytet 7:</t>
    </r>
    <r>
      <rPr>
        <sz val="10"/>
        <rFont val="Arial"/>
        <family val="2"/>
      </rPr>
      <t xml:space="preserve"> Rozbudowa i modernizacja infrastruktury edukacyjnej na Dolnym Ślasku Edukacja</t>
    </r>
  </si>
  <si>
    <r>
      <t>Działanie 7.2</t>
    </r>
    <r>
      <rPr>
        <sz val="10"/>
        <rFont val="Arial"/>
        <family val="2"/>
      </rPr>
      <t xml:space="preserve"> Poprawa i rozwój infrastruktury placówek przedszkolnych, szkolnych, gimnazjalnych i ponadgimnazjalnych</t>
    </r>
  </si>
  <si>
    <r>
      <t>Priorytet 7:</t>
    </r>
    <r>
      <rPr>
        <sz val="10"/>
        <rFont val="Arial"/>
        <family val="2"/>
      </rPr>
      <t xml:space="preserve"> Rozbudowa i modernizacja infrastruktury edukacyjnej na dolnym Śląsku Edukacja</t>
    </r>
  </si>
  <si>
    <r>
      <t>Nazwa projektu:</t>
    </r>
    <r>
      <rPr>
        <i/>
        <sz val="10"/>
        <color indexed="8"/>
        <rFont val="Arial"/>
        <family val="2"/>
      </rPr>
      <t xml:space="preserve"> Przebudowa obiektu sportowego w Miłkowicach wraz z budową szatni</t>
    </r>
  </si>
  <si>
    <t>L.p</t>
  </si>
  <si>
    <r>
      <t xml:space="preserve">Nazwa projektu: </t>
    </r>
    <r>
      <rPr>
        <i/>
        <sz val="10"/>
        <color indexed="8"/>
        <rFont val="Arial"/>
        <family val="2"/>
      </rPr>
      <t>Przebudowa szkoły podstawowej w Miłkowicach</t>
    </r>
  </si>
  <si>
    <t>DOCHODY OD OS. PRAW., OD OS. FIZ. I OD INNYCH JEDN. NIE POSIADAJĄCYCH OSOBOWOŚCI PRAWNEJ ORAZ WYDATKI ZWIĄZANE Z ICH POBOREM</t>
  </si>
  <si>
    <t>Ochrona różnorodności biologicznej i krajobrazu</t>
  </si>
  <si>
    <r>
      <t xml:space="preserve">Nazwa projektu: </t>
    </r>
    <r>
      <rPr>
        <i/>
        <sz val="10"/>
        <color indexed="8"/>
        <rFont val="Arial"/>
        <family val="2"/>
      </rPr>
      <t>Budowa wielofunkcyjnej hali sportowej przy szkole podstawowej w Rzeszotarach.</t>
    </r>
  </si>
  <si>
    <r>
      <t>Priorytet 3:</t>
    </r>
    <r>
      <rPr>
        <sz val="10"/>
        <rFont val="Arial"/>
        <family val="2"/>
      </rPr>
      <t xml:space="preserve"> Rozwój infrastruktury transportowej na Dolnym Śląsku Transport</t>
    </r>
  </si>
  <si>
    <r>
      <t>Działanie 3.1</t>
    </r>
    <r>
      <rPr>
        <sz val="10"/>
        <rFont val="Arial"/>
        <family val="2"/>
      </rPr>
      <t xml:space="preserve"> Transport drogowy</t>
    </r>
  </si>
  <si>
    <r>
      <t xml:space="preserve">Nazwa projektu: </t>
    </r>
    <r>
      <rPr>
        <i/>
        <sz val="10"/>
        <color indexed="8"/>
        <rFont val="Arial"/>
        <family val="2"/>
      </rPr>
      <t>Budowa drogi asfaltowej w Ulesiu : droga do obwodnicy Nr 3-1000 m.</t>
    </r>
  </si>
  <si>
    <r>
      <t xml:space="preserve">Nazwa Projektu: </t>
    </r>
    <r>
      <rPr>
        <i/>
        <sz val="10"/>
        <color indexed="8"/>
        <rFont val="Arial"/>
        <family val="2"/>
      </rPr>
      <t>Remont chodników w Miłkowicach ( kontynuacja 3000 m)</t>
    </r>
  </si>
  <si>
    <r>
      <t xml:space="preserve">Program: </t>
    </r>
    <r>
      <rPr>
        <sz val="10"/>
        <rFont val="Arial"/>
        <family val="2"/>
      </rPr>
      <t>Program Rozwoju obszarów wiejskich</t>
    </r>
  </si>
  <si>
    <r>
      <t xml:space="preserve">Priorytet 5: </t>
    </r>
    <r>
      <rPr>
        <sz val="10"/>
        <rFont val="Arial"/>
        <family val="2"/>
      </rPr>
      <t>Regionalna infrastruktura energetyczna przyjazna środowisku Energetyka</t>
    </r>
  </si>
  <si>
    <r>
      <t>Działanie 5.1</t>
    </r>
    <r>
      <rPr>
        <sz val="10"/>
        <rFont val="Arial"/>
        <family val="2"/>
      </rPr>
      <t xml:space="preserve"> Alternatywne źródła energii</t>
    </r>
  </si>
  <si>
    <r>
      <t xml:space="preserve">Nazwa projektu: </t>
    </r>
    <r>
      <rPr>
        <i/>
        <sz val="10"/>
        <color indexed="8"/>
        <rFont val="Arial"/>
        <family val="2"/>
      </rPr>
      <t>Budowa kotłowni ekologicznej dla kompleksu budynków publicznych w Miłkowicach</t>
    </r>
  </si>
  <si>
    <r>
      <t xml:space="preserve">Program: </t>
    </r>
    <r>
      <rPr>
        <sz val="10"/>
        <rFont val="Arial"/>
        <family val="2"/>
      </rPr>
      <t>Program Rozwoju Obszarów wiejskich</t>
    </r>
  </si>
  <si>
    <r>
      <t xml:space="preserve">Nazwa projektu: </t>
    </r>
    <r>
      <rPr>
        <i/>
        <sz val="10"/>
        <color indexed="8"/>
        <rFont val="Arial"/>
        <family val="2"/>
      </rPr>
      <t>Remont chodników w Siedliskach - 1500 m</t>
    </r>
  </si>
  <si>
    <r>
      <t xml:space="preserve">Nazwa Projektu:  </t>
    </r>
    <r>
      <rPr>
        <i/>
        <sz val="10"/>
        <color indexed="8"/>
        <rFont val="Arial"/>
        <family val="2"/>
      </rPr>
      <t>Rozbudowa terenów zielonych na terenie gminy ( parki, skwery, place zabaw)</t>
    </r>
  </si>
  <si>
    <t>Gazyfikacja</t>
  </si>
  <si>
    <t>Gazyfikacja gminy - I etap (Miłkowice, Siedliska, Jezierzany, Jakuszów, Patnówek, Rzeszotary)</t>
  </si>
  <si>
    <t>Gazyfikacja gminy - II etap (Bobrów, Dobrzejów, Głuchowice, Kochlice, Grzymalin, Gniewomirowice, Ulesie, Lipce, Studnica, Goslinów)</t>
  </si>
  <si>
    <r>
      <t xml:space="preserve">90 000                </t>
    </r>
    <r>
      <rPr>
        <sz val="8"/>
        <rFont val="Arial CE"/>
        <family val="0"/>
      </rPr>
      <t>(ujęte w Wykazie zadań inwest. na 2008 rok)</t>
    </r>
  </si>
  <si>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</si>
  <si>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</si>
  <si>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</si>
  <si>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</si>
  <si>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</si>
  <si>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</si>
  <si>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</si>
  <si>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</si>
  <si>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</si>
  <si>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</si>
  <si>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</si>
  <si>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</si>
  <si>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</si>
  <si>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</si>
  <si>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</si>
  <si>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</si>
  <si>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</si>
  <si>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</si>
  <si>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</si>
  <si>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</si>
  <si>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</si>
  <si>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</si>
  <si>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</si>
  <si>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</si>
  <si>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</si>
  <si>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</si>
  <si>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</si>
  <si>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</si>
  <si>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</si>
  <si>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</si>
  <si>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</si>
  <si>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</si>
  <si>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</si>
  <si>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</si>
  <si>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</si>
  <si>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</si>
  <si>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</si>
  <si>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</si>
  <si>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</si>
  <si>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</si>
  <si>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w złotych</t>
  </si>
  <si>
    <t>Ogółem kwota dotacji</t>
  </si>
  <si>
    <t>Kwota dotacji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</si>
  <si>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</si>
  <si>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</si>
  <si>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</si>
  <si>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</si>
  <si>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</si>
  <si>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</si>
  <si>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</si>
  <si>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</si>
  <si>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</si>
  <si>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</si>
  <si>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</si>
  <si>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</si>
  <si>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Lp.</t>
  </si>
  <si>
    <t>Stan środków obrotowych na początek roku</t>
  </si>
  <si>
    <t>Stan środków obrotowych na koniec roku</t>
  </si>
  <si>
    <t>§ 931</t>
  </si>
  <si>
    <t>Nazwa jednostki
 otrzymującej dotację</t>
  </si>
  <si>
    <t>Zakres</t>
  </si>
  <si>
    <t>Projekt</t>
  </si>
  <si>
    <t>Kategoria interwencji funduszy strukturalnych</t>
  </si>
  <si>
    <t>z tego:</t>
  </si>
  <si>
    <t>1.1</t>
  </si>
  <si>
    <t>1.2</t>
  </si>
  <si>
    <t>2.1</t>
  </si>
  <si>
    <t>2.2</t>
  </si>
  <si>
    <t>Dotacje</t>
  </si>
  <si>
    <t>Ogółem wydatki</t>
  </si>
  <si>
    <t>Wydatki
z tytułu poręczeń
i gwarancji</t>
  </si>
  <si>
    <t>pożyczek</t>
  </si>
  <si>
    <t>kredytów</t>
  </si>
  <si>
    <t>Prognozowane dochody budżetowe</t>
  </si>
  <si>
    <t>Relacje do dochodów (w %):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</si>
  <si>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</si>
  <si>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</si>
  <si>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</si>
  <si>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</si>
  <si>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</si>
  <si>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</si>
  <si>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</si>
  <si>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</si>
  <si>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</si>
  <si>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</si>
  <si>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</si>
  <si>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</si>
  <si>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Źródło dochodów</t>
  </si>
  <si>
    <t>Wydatki na obsługę długu</t>
  </si>
  <si>
    <t>Jednostka organizacyjna realizująca program lub koordynująca wykonanie programu</t>
  </si>
  <si>
    <t>dochody własne jst</t>
  </si>
  <si>
    <t>Nazwa zadania inwestycyjnego</t>
  </si>
  <si>
    <t xml:space="preserve">§ 944 </t>
  </si>
  <si>
    <t>świadczenia społeczne</t>
  </si>
  <si>
    <t>Dochody własne jednostek budżetowych</t>
  </si>
  <si>
    <t>na inwestycje</t>
  </si>
  <si>
    <t>Papiery wartościowe (obligacje)</t>
  </si>
  <si>
    <t>Wykup papierów wartościowych (obligacji)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</si>
  <si>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</si>
  <si>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</si>
  <si>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</si>
  <si>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</si>
  <si>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</si>
  <si>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</si>
  <si>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</si>
  <si>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</si>
  <si>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</si>
  <si>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</si>
  <si>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udzielonych poręczeń</t>
  </si>
  <si>
    <t>wykup papierów wartościowych</t>
  </si>
  <si>
    <t>6.1</t>
  </si>
  <si>
    <t>6.2</t>
  </si>
  <si>
    <t>6.3</t>
  </si>
  <si>
    <t>6.4</t>
  </si>
  <si>
    <r>
      <t xml:space="preserve">spłaty zadłużenia </t>
    </r>
    <r>
      <rPr>
        <sz val="10"/>
        <rFont val="Arial"/>
        <family val="2"/>
      </rPr>
      <t>(art. 169 ust. 1)        (2:3)</t>
    </r>
  </si>
  <si>
    <t>010</t>
  </si>
  <si>
    <t>01095</t>
  </si>
  <si>
    <t>ROLNICTWO I ŁOWIECTWO</t>
  </si>
  <si>
    <t>Pozostała działalność</t>
  </si>
  <si>
    <t>0830</t>
  </si>
  <si>
    <t>WYTWARZANIE I ZAOPATRYWANIE W ENERGIĘ ELEKTRYCZNĄ, GAZ I WODĘ</t>
  </si>
  <si>
    <t>Dostarczanie wody</t>
  </si>
  <si>
    <t>0970</t>
  </si>
  <si>
    <t>Wpływy z różnych dochodów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</si>
  <si>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</si>
  <si>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</si>
  <si>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</si>
  <si>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</si>
  <si>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</si>
  <si>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</si>
  <si>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</si>
  <si>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</si>
  <si>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0920</t>
  </si>
  <si>
    <t>Pozostałe odsetki</t>
  </si>
  <si>
    <t>ADMINISTRACJA PUBLICZNA</t>
  </si>
  <si>
    <t>Urzędy gmin</t>
  </si>
  <si>
    <t>0960</t>
  </si>
  <si>
    <t>Otrzymane spadki, zapisy, i darowizny w postaci pieniężnej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</si>
  <si>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</si>
  <si>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</si>
  <si>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</si>
  <si>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</si>
  <si>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</si>
  <si>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0320</t>
  </si>
  <si>
    <t>0330</t>
  </si>
  <si>
    <t>0340</t>
  </si>
  <si>
    <t>0500</t>
  </si>
  <si>
    <t>0910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</si>
  <si>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</si>
  <si>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</si>
  <si>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</si>
  <si>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</si>
  <si>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</si>
  <si>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</si>
  <si>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</si>
  <si>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</si>
  <si>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</si>
  <si>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</si>
  <si>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</si>
  <si>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</si>
  <si>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</si>
  <si>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</si>
  <si>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</si>
  <si>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</si>
  <si>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Podatek dochodowy od osób fizycznych</t>
  </si>
  <si>
    <t>Podatek dochodowy od osób prawnych</t>
  </si>
  <si>
    <t>POMOC SPOŁECZNA</t>
  </si>
  <si>
    <t>Ośrodki pomocy społecznej</t>
  </si>
  <si>
    <t>Usługi opiekuńcze i specjalistyczne usługi opiekuńcze</t>
  </si>
  <si>
    <t>Wpływy z usług</t>
  </si>
  <si>
    <t>01010</t>
  </si>
  <si>
    <t>Infrastruktura wodociągowa i sanitacyjna wsi</t>
  </si>
  <si>
    <t>6269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</si>
  <si>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</si>
  <si>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</si>
  <si>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6260</t>
  </si>
  <si>
    <t>01039</t>
  </si>
  <si>
    <t>Pozostałe zadania Wpólnej Polityki Rolnej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</si>
  <si>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</si>
  <si>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</si>
  <si>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</si>
  <si>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</si>
  <si>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</si>
  <si>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</si>
  <si>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</si>
  <si>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BEZPIECZEŃSTWO PUBLICZNE I OCHRONA PRZECIWPOŻAROWA</t>
  </si>
  <si>
    <t>Obrona cywilna</t>
  </si>
  <si>
    <t>2360</t>
  </si>
  <si>
    <t>Dochody jednostek samorządu terytorialnego związane z realizacją zadań z zakresu administracji rządowej oraz innych zadań zleconych ustawami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</si>
  <si>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</si>
  <si>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</si>
  <si>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</si>
  <si>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</si>
  <si>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Część równoważąca subwencji ogólnej dla gmin</t>
  </si>
  <si>
    <t>Różne rozliczenia finansowe</t>
  </si>
  <si>
    <t>801</t>
  </si>
  <si>
    <t>80101</t>
  </si>
  <si>
    <t>Szkoły podstawowe</t>
  </si>
  <si>
    <t>Środki na dofinansowanie własnych zadań bieżących gmin, powiatów, samorządów województw pozyskane z innych źródeł</t>
  </si>
  <si>
    <t>80110</t>
  </si>
  <si>
    <t>Gimnazja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</si>
  <si>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</si>
  <si>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</si>
  <si>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</si>
  <si>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Pomoc materialna dla uczniów</t>
  </si>
  <si>
    <t>dotacje celowe z budżetu państwa na zadania zlecone</t>
  </si>
  <si>
    <t>subwencje i dotacje na realizację zadań własnych gmin</t>
  </si>
  <si>
    <t>RÓŻNE ROZLICZENIA</t>
  </si>
  <si>
    <t>OŚWIATA I WYCHOWANIE</t>
  </si>
  <si>
    <t>2030</t>
  </si>
  <si>
    <t>Dotacje celowe otrzymane z budżetu państwa na realizację własnych zadań bieżących gmin</t>
  </si>
  <si>
    <t>OCHRONA ZDROWIA</t>
  </si>
  <si>
    <t>Lecznictwo ambulatoryjne</t>
  </si>
  <si>
    <t>EDUKACYJNA OPIEKA WYCHOWAWCZA</t>
  </si>
  <si>
    <t>GOSPODARKA KOMUNALNA I OCHRONA ŚRODOWISKA</t>
  </si>
  <si>
    <t>Gospodarka ściekowa i ochrona wód</t>
  </si>
  <si>
    <t>KULTURA I OCHRONA DZIEDZICTWA NARODOWEGO</t>
  </si>
  <si>
    <t>Domy i ośrodki kultury, świetlice i kluby</t>
  </si>
  <si>
    <t>Wybory do rad gmin, rad powiatów i sejmików województw, wybory wójtów, burmistrzów i prezydentów miast oraz referenda gminne, powiatowe i wojewódzkie</t>
  </si>
  <si>
    <t>80195</t>
  </si>
  <si>
    <t xml:space="preserve">Biblioteki </t>
  </si>
  <si>
    <t>Biblioteki</t>
  </si>
  <si>
    <t>% (rubr. 5:4)</t>
  </si>
  <si>
    <t>01008</t>
  </si>
  <si>
    <t>Melioracje wodne</t>
  </si>
  <si>
    <t>01011</t>
  </si>
  <si>
    <t>Stacja Chemiczno-Rolnicza</t>
  </si>
  <si>
    <t>01030</t>
  </si>
  <si>
    <t>Izby rolnicze</t>
  </si>
  <si>
    <t>400</t>
  </si>
  <si>
    <t>40002</t>
  </si>
  <si>
    <t>600</t>
  </si>
  <si>
    <t>TRANSPORT I ŁĄCZNOŚĆ</t>
  </si>
  <si>
    <t>60016</t>
  </si>
  <si>
    <t>Drogi publiczne gminne</t>
  </si>
  <si>
    <t>700</t>
  </si>
  <si>
    <t>70005</t>
  </si>
  <si>
    <t>Gospodarka gruntami</t>
  </si>
  <si>
    <t>70095</t>
  </si>
  <si>
    <t>710</t>
  </si>
  <si>
    <t>DZIAŁALNOŚĆ USŁUGOWA</t>
  </si>
  <si>
    <t>71004</t>
  </si>
  <si>
    <t>Plany zagospodarowania przestrzennego</t>
  </si>
  <si>
    <t>750</t>
  </si>
  <si>
    <t>75011</t>
  </si>
  <si>
    <t>75022</t>
  </si>
  <si>
    <t>Rady gmin</t>
  </si>
  <si>
    <t>75023</t>
  </si>
  <si>
    <t>75075</t>
  </si>
  <si>
    <t>Promocja jednostek samorządu terytorialnego</t>
  </si>
  <si>
    <t>751</t>
  </si>
  <si>
    <t>75101</t>
  </si>
  <si>
    <t>Urzędy naczelnych organów władzy państwowej, kontroli i ochrony prawa</t>
  </si>
  <si>
    <t>752</t>
  </si>
  <si>
    <t>75212</t>
  </si>
  <si>
    <t>754</t>
  </si>
  <si>
    <t>75403</t>
  </si>
  <si>
    <t>Jednostki terenowe Policji</t>
  </si>
  <si>
    <t>75412</t>
  </si>
  <si>
    <t>Ochotnicze straże pożarne</t>
  </si>
  <si>
    <t>75414</t>
  </si>
  <si>
    <t>756</t>
  </si>
  <si>
    <t>DOCHODY OD OSÓB PRAWNYCH, OSÓB FIZYCZNYCH I OD INNYCH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</si>
  <si>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</si>
  <si>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</si>
  <si>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</si>
  <si>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</si>
  <si>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</si>
  <si>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gminnego</t>
  </si>
  <si>
    <t>758</t>
  </si>
  <si>
    <t>75818</t>
  </si>
  <si>
    <t>Szkoły podstawowe, w tym:</t>
  </si>
  <si>
    <t xml:space="preserve">   -    Szkoła Podstawowa w Miłkowicach</t>
  </si>
  <si>
    <t xml:space="preserve">   -    Szkoła Podstawowa w Rzeszotarach</t>
  </si>
  <si>
    <t>80103</t>
  </si>
  <si>
    <t>Oddziały przedszkolne w szkołach, w tym:</t>
  </si>
  <si>
    <t>80113</t>
  </si>
  <si>
    <t>Dowożenie uczniów do szkół</t>
  </si>
  <si>
    <t>851</t>
  </si>
  <si>
    <t>85121</t>
  </si>
  <si>
    <t>85153</t>
  </si>
  <si>
    <t>Zwalczanie narkomanii</t>
  </si>
  <si>
    <t>85154</t>
  </si>
  <si>
    <t>Przeciwdziałanie alkoholizmowi</t>
  </si>
  <si>
    <t>852</t>
  </si>
  <si>
    <t>85202</t>
  </si>
  <si>
    <t>Domy pomocy społecznej</t>
  </si>
  <si>
    <t>85212</t>
  </si>
  <si>
    <t>85213</t>
  </si>
  <si>
    <t>85214</t>
  </si>
  <si>
    <t>85215</t>
  </si>
  <si>
    <t>Dodatki mieszkaniowe</t>
  </si>
  <si>
    <t>85219</t>
  </si>
  <si>
    <t>85295</t>
  </si>
  <si>
    <t>854</t>
  </si>
  <si>
    <t>020</t>
  </si>
  <si>
    <t>02001</t>
  </si>
  <si>
    <t>Gospodarka leśna</t>
  </si>
  <si>
    <t>LEŚNICTWO</t>
  </si>
  <si>
    <t>dochody z majątku gminy</t>
  </si>
  <si>
    <t>85404</t>
  </si>
  <si>
    <t>Wczesne wspomaganie rozwoju dziecka</t>
  </si>
  <si>
    <t>85412</t>
  </si>
  <si>
    <t>Kolonie i obozy oraz inne formy wypoczynku dzieci i młodzieży szkolnej, a także szkolenia młodzieży</t>
  </si>
  <si>
    <t>85415</t>
  </si>
  <si>
    <t>900</t>
  </si>
  <si>
    <t>Ochrona powietrza atmosferycznego i klimatu</t>
  </si>
  <si>
    <t>90002</t>
  </si>
  <si>
    <t>Gospodarka odpadami</t>
  </si>
  <si>
    <t>90005</t>
  </si>
  <si>
    <t>90095</t>
  </si>
  <si>
    <t>Pozostała działalnosć</t>
  </si>
  <si>
    <t>921</t>
  </si>
  <si>
    <t>92109</t>
  </si>
  <si>
    <t>92116</t>
  </si>
  <si>
    <t>92120</t>
  </si>
  <si>
    <t>Ochrona i opieka nad zabytkami</t>
  </si>
  <si>
    <t>926</t>
  </si>
  <si>
    <t>KULTURA FIZYCZNA I SPORT</t>
  </si>
  <si>
    <t>92605</t>
  </si>
  <si>
    <t>Zadania w zakresie kultury fizycznej i sportu</t>
  </si>
  <si>
    <t>75109</t>
  </si>
  <si>
    <t>90015</t>
  </si>
  <si>
    <t>Oświetlenie ulic, placów i dróg</t>
  </si>
  <si>
    <t>80104</t>
  </si>
  <si>
    <t xml:space="preserve">Przedszkola </t>
  </si>
  <si>
    <t xml:space="preserve">   -    Gimnazjum w Miłkowicach</t>
  </si>
  <si>
    <t>80146</t>
  </si>
  <si>
    <t>Drogi publiczne powiatowe</t>
  </si>
  <si>
    <t>60014</t>
  </si>
  <si>
    <t>wynagrodzenia i pochodne od wynagrodzeń</t>
  </si>
  <si>
    <t>Wydatki
ogółem
(6+9)</t>
  </si>
  <si>
    <t>Plan przychodów i wydatków zakładów budżetowych  oraz dochodów i wydatków</t>
  </si>
  <si>
    <t>1. Zaopatrywanie w wodę</t>
  </si>
  <si>
    <t>2. Gospodarka mieszkaniowa</t>
  </si>
  <si>
    <t>3. Odprowadzanie ścieków</t>
  </si>
  <si>
    <t>4. Zarządzanie cmentarzami</t>
  </si>
  <si>
    <r>
      <t xml:space="preserve">z tego: </t>
    </r>
    <r>
      <rPr>
        <b/>
        <i/>
        <sz val="10"/>
        <rFont val="Arial CE"/>
        <family val="0"/>
      </rPr>
      <t>Gminny Zakład Gospodarki Komunalnej w Miłkowicach</t>
    </r>
  </si>
  <si>
    <t>wpłata do budżetu</t>
  </si>
  <si>
    <t>wynagrodzenia i pochodne</t>
  </si>
  <si>
    <t>Gminny Zakład Gospodarki komunalnej w Miłkowicach</t>
  </si>
  <si>
    <r>
      <t xml:space="preserve">dotacja do 1 m 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 xml:space="preserve"> wody</t>
    </r>
  </si>
  <si>
    <t>Gminny Zakład Opieki Zdrowotnej w Miłkowicach</t>
  </si>
  <si>
    <t>Gminny Ośrodek Kultury i Sportu w Miłkowicach</t>
  </si>
  <si>
    <t>prowadzenie Edukacyjnego Centrum Informacyjnego</t>
  </si>
  <si>
    <t>na realizację zadań gminy z zakresu kultury fizycznej i sportu</t>
  </si>
  <si>
    <t>na realizację zadań gminy z zakresu bibliotek gminnych</t>
  </si>
  <si>
    <t>na realizację zadań gminy z zakresu krzewienia kultury</t>
  </si>
  <si>
    <t>wpływy z różnych opłat (dochody z tytułu opłat za wydawanie dowodów osobistych)</t>
  </si>
  <si>
    <t>2709</t>
  </si>
  <si>
    <t>2700</t>
  </si>
  <si>
    <t>wpływy z różnych dochodów (dochody z tytułu odzyskanych od dłużnika zaliczek alimentacyjnych)</t>
  </si>
  <si>
    <t>Dochody
ogółem</t>
  </si>
  <si>
    <t>Dochody  ogółem:</t>
  </si>
  <si>
    <t>Wydatki  ogółem:</t>
  </si>
  <si>
    <t>upowszechnianie kultury fizycznej sportu na terenie gminy</t>
  </si>
  <si>
    <t>na realizację programów profilaktyki rozwiązywania problemów alkoholowych</t>
  </si>
  <si>
    <t>X</t>
  </si>
  <si>
    <t>Przewidywane nakłady i źródła finansowania</t>
  </si>
  <si>
    <t>źródło</t>
  </si>
  <si>
    <t>2009 rok</t>
  </si>
  <si>
    <t>Wydatki  majątkowe  razem:</t>
  </si>
  <si>
    <t>Wartość zadania:</t>
  </si>
  <si>
    <t xml:space="preserve"> środki z budżetu j.s.t.</t>
  </si>
  <si>
    <t>kredyty i pożyczki</t>
  </si>
  <si>
    <t xml:space="preserve"> środki z UE</t>
  </si>
  <si>
    <t>851, 85121</t>
  </si>
  <si>
    <t>Wartość zadania</t>
  </si>
  <si>
    <t>środki z UE</t>
  </si>
  <si>
    <t>środki budżetu j.s.t</t>
  </si>
  <si>
    <t>środki budżetu krajowego</t>
  </si>
  <si>
    <t>Ogółem:</t>
  </si>
  <si>
    <t>Klasyfikacja (dział, rozdział)</t>
  </si>
  <si>
    <r>
      <t>Dział 900:</t>
    </r>
    <r>
      <rPr>
        <sz val="10"/>
        <rFont val="Arial CE"/>
        <family val="2"/>
      </rPr>
      <t xml:space="preserve"> GOSPODARKA KOMUNALNA I OCHRONA ŚRODOWISKA</t>
    </r>
  </si>
  <si>
    <r>
      <t xml:space="preserve">     Rozdział 90011:</t>
    </r>
    <r>
      <rPr>
        <sz val="10"/>
        <rFont val="Arial CE"/>
        <family val="2"/>
      </rPr>
      <t xml:space="preserve"> Fundusz Ochrony Środowiska i Gospodarki Wodnej</t>
    </r>
  </si>
  <si>
    <r>
      <t xml:space="preserve">                             § 0690 </t>
    </r>
    <r>
      <rPr>
        <sz val="10"/>
        <rFont val="Arial CE"/>
        <family val="0"/>
      </rPr>
      <t>Wpływy z różnych opłat</t>
    </r>
  </si>
  <si>
    <t>Termin realizacji</t>
  </si>
  <si>
    <t>Źródła finansowania</t>
  </si>
  <si>
    <t>Wkład własny</t>
  </si>
  <si>
    <t>Dział 010 : ROLNICTWO I ŁOWIECTWO</t>
  </si>
  <si>
    <t>Rozdział 01010 : Infrastruktura wodociągowa i sanitacyjna wsi</t>
  </si>
  <si>
    <t>Dział 600 : TRANSPORT I ŁĄCZNOŚĆ</t>
  </si>
  <si>
    <t>Remont chodników w Miłkowicach (kontynuacja)</t>
  </si>
  <si>
    <t>Dział 750 : ADMINISTRACJA PUBLICZNA</t>
  </si>
  <si>
    <t>Rozdział 75023 : Urzędy gmin</t>
  </si>
  <si>
    <t>Dział 851 : OCHRONA ZDROWIA</t>
  </si>
  <si>
    <t>Rozdział 85121 : Lecznictwo ambulatoryjne</t>
  </si>
  <si>
    <t>Dział 921 : KULTURA I OCHRONA DZIEDZICTWA NARODOWEGO</t>
  </si>
  <si>
    <t>Rozdział  92116: Biblioteki</t>
  </si>
  <si>
    <t>9.</t>
  </si>
  <si>
    <t>Środki unijne (art. 5 ust. 1 pkt 2 i 3 u.f.p.)</t>
  </si>
  <si>
    <t>dotacje i środki z innych źródeł</t>
  </si>
  <si>
    <t>2006-2007</t>
  </si>
  <si>
    <t>2007-2008</t>
  </si>
  <si>
    <t>Urząd Gminy    w Miłkowicach</t>
  </si>
  <si>
    <t xml:space="preserve">       Rozdział 60016 : Drogi publiczne gminne</t>
  </si>
  <si>
    <t>Dział 801: OŚWIATA I WYCHOWANIE</t>
  </si>
  <si>
    <t>Dział 700 : GOSPODARKA MIESZKANIOWA</t>
  </si>
  <si>
    <t>Rozdział 70005 : Gospodarka gruntami i nieruchomościami</t>
  </si>
  <si>
    <t>10.</t>
  </si>
  <si>
    <t>Dział 852 : POMOC SPOŁECZNA</t>
  </si>
  <si>
    <t>Rozdział 85219: Ośrodki pomocy społecznej</t>
  </si>
  <si>
    <t>Zakup kserokopiarki do GOPS w Miłkowicach</t>
  </si>
  <si>
    <t>GOPS w Miłkowicach</t>
  </si>
  <si>
    <t>Razem wydatki inwestycyjne:</t>
  </si>
  <si>
    <t xml:space="preserve">Łączne koszty finansowe </t>
  </si>
  <si>
    <t>sporz. Renata Matusiewicz</t>
  </si>
  <si>
    <r>
      <t xml:space="preserve">1. </t>
    </r>
    <r>
      <rPr>
        <b/>
        <i/>
        <sz val="10"/>
        <rFont val="Arial CE"/>
        <family val="0"/>
      </rPr>
      <t>Szkoła Podstawowa w Rzeszotarach</t>
    </r>
  </si>
  <si>
    <r>
      <t xml:space="preserve">2. </t>
    </r>
    <r>
      <rPr>
        <b/>
        <i/>
        <sz val="10"/>
        <rFont val="Arial CE"/>
        <family val="0"/>
      </rPr>
      <t>Szkoła Podstawowa w Miłkowicach</t>
    </r>
  </si>
  <si>
    <r>
      <t xml:space="preserve">3. </t>
    </r>
    <r>
      <rPr>
        <b/>
        <i/>
        <sz val="10"/>
        <rFont val="Arial CE"/>
        <family val="0"/>
      </rPr>
      <t>Gimnazjum w Miłkowicach</t>
    </r>
  </si>
  <si>
    <t>dotacje
z budżetu</t>
  </si>
  <si>
    <t>§ 2650</t>
  </si>
  <si>
    <t>2.1.4</t>
  </si>
  <si>
    <t xml:space="preserve">pożyczek </t>
  </si>
  <si>
    <t>dotacje i środki otrzymane na inwestycyje</t>
  </si>
  <si>
    <t>podatki i opłaty lokalne</t>
  </si>
  <si>
    <t>Przewidywane wykonanie
2007 roku</t>
  </si>
  <si>
    <t>0490</t>
  </si>
  <si>
    <t>Wpływy z innych lokalnych opłat pobieranych przez jednostki samorządu terytorialnego na podstawie odrębnych ustaw</t>
  </si>
  <si>
    <t>Zaciągnięte zobowiązania  (stan na 31.12.roku poprzedniego) z tytułu:</t>
  </si>
  <si>
    <t>Planowane w roku budżetowym z tytułu:</t>
  </si>
  <si>
    <t>Obsługa długu (2.1+2.2)</t>
  </si>
  <si>
    <t>Spłata rat kapitałowych z tytułu:</t>
  </si>
  <si>
    <t>2.1.5</t>
  </si>
  <si>
    <r>
      <t xml:space="preserve">Zobowiązania wg tytułów dłużnych (stan na 31.12. roku budżetowego) : </t>
    </r>
    <r>
      <rPr>
        <sz val="10"/>
        <rFont val="Arial"/>
        <family val="2"/>
      </rPr>
      <t>(1.1+1.2) - 2.1.</t>
    </r>
  </si>
  <si>
    <r>
      <t xml:space="preserve">długu </t>
    </r>
    <r>
      <rPr>
        <sz val="10"/>
        <rFont val="Arial"/>
        <family val="2"/>
      </rPr>
      <t xml:space="preserve">(art. 170 ust. 1)    1:3         </t>
    </r>
  </si>
  <si>
    <r>
      <t xml:space="preserve">długu po uwzględnieniu wyłączeń </t>
    </r>
    <r>
      <rPr>
        <sz val="10"/>
        <rFont val="Arial"/>
        <family val="2"/>
      </rPr>
      <t>(art. 170 ust. 3)
(1-1.1.3.-1.2.3+2.1.5):3</t>
    </r>
  </si>
  <si>
    <t>Kwota długu na dzień 31.12.2007</t>
  </si>
  <si>
    <t>kredytów i pożyczek zaciąganych w celu realizacji umów zawartych z podmiotem dysponującym środkami o których mowa w art.5 ust.3 art.170 ustawy o finansach publicznych)</t>
  </si>
  <si>
    <t>Prognoza kwoty długu i spłat na rok 2008 i lata następne</t>
  </si>
  <si>
    <r>
      <t xml:space="preserve">spłaty zadłużenia po uwzględnieniu wyłączeń </t>
    </r>
    <r>
      <rPr>
        <sz val="10"/>
        <rFont val="Arial"/>
        <family val="2"/>
      </rPr>
      <t>(art. 169 ust. 3) (2-2.1.5):3</t>
    </r>
  </si>
  <si>
    <t>Plan na 2008 r.</t>
  </si>
  <si>
    <t>Dotacje przedmiotowe w 2008 r.</t>
  </si>
  <si>
    <t xml:space="preserve"> dochodów własnych jednostek budżetowych na 2008 r.</t>
  </si>
  <si>
    <t>Dochody z tytułu wydwania zewoleń na sprzedaż alkoholu i wydatki związane z realizacją Gminnego Programu Profilaktyki i Rozwiązywania Problemów Alkoholowych oraz Gminnego Programu Przeciwdziałania Narkomanii w 2008 r.</t>
  </si>
  <si>
    <t>Dochody i wydatki związane z realizacją zadań z zakresu administracji rządowej zleconych gminie ustawami w 2008 r. - podlegających przekazaniu do budżetu państwa</t>
  </si>
  <si>
    <t>Plan z 2007roku</t>
  </si>
  <si>
    <t>Plan na 2008 rok</t>
  </si>
  <si>
    <t>Dochody i wydatki związane z realizacją zadań z zakresu administracji rządowej i innych zadań zleconych odrębnymi ustawami w 2008 r.</t>
  </si>
  <si>
    <t>Wydatki  na programy i projekty realizowane ze środków pochodzących z funduszy strukturalnych i funduszu spójności Unii na lata 2008-2010</t>
  </si>
  <si>
    <t>2010 rok</t>
  </si>
  <si>
    <t>Planowane wydatki w roku 2007    (od 6 do 11)</t>
  </si>
  <si>
    <t>GFOŚiGW</t>
  </si>
  <si>
    <t>wpłaty + rozw. lokaty terminowej</t>
  </si>
  <si>
    <t xml:space="preserve">Budowa kanalizacji sanitarnej dla miejscowości Jezierzany, Jakuszów, Pątnówek i Bobrów </t>
  </si>
  <si>
    <t>Urząd Gminy        w Miłkowicach</t>
  </si>
  <si>
    <t xml:space="preserve">Budowa kanalizacji sanitarnej wraz z przyłączami dla miejscowości Gniewomirowice i Goślinów </t>
  </si>
  <si>
    <t xml:space="preserve">Budowa przykanalików w ramach zadania pn.: Budowa kanalizacji sanitarnej dla miejscowości Rzeszotary i Dobrzejów (kontynuacja i poszerzenie projektu i robót) </t>
  </si>
  <si>
    <t>GZGK    w Miłkowicach</t>
  </si>
  <si>
    <t>Rozdział 01039 : Pozostałe zadania Wspólnej Polityki Rolnej</t>
  </si>
  <si>
    <t>15.</t>
  </si>
  <si>
    <t>2007-2009</t>
  </si>
  <si>
    <t>17.</t>
  </si>
  <si>
    <t>Remont i modernizacja sieci centralnego ogrzewania w budynku w Ulesiu 99</t>
  </si>
  <si>
    <t>18.</t>
  </si>
  <si>
    <t>Realizacja "Zintegrowanego Systemu Informat. dla Zrównoważonego Rozwoju Regionu Doln. Śląska"</t>
  </si>
  <si>
    <t>19.</t>
  </si>
  <si>
    <t>Modernizacja urzędu poprzez zakup sprzętu komuterowego wraz z oprogramowaniem oraz instalację centralki telefonicznej</t>
  </si>
  <si>
    <t>Dział 754: BEZPIECZEŃSTWO PUBLICZNE I OCHRONA PRZECIWPOŻAROWA</t>
  </si>
  <si>
    <t>Rozdział 75412 : Ochotnicze straże pożarne</t>
  </si>
  <si>
    <t>20.</t>
  </si>
  <si>
    <t>21.</t>
  </si>
  <si>
    <t>23.</t>
  </si>
  <si>
    <t>Dział 900 : GOSPODARKA KOMUNALNA I OCHRONA ŚRODOWISKA</t>
  </si>
  <si>
    <t>Rozdział  90001: Gospodarka ściekowa i ochrona wód</t>
  </si>
  <si>
    <t>24.</t>
  </si>
  <si>
    <t>Rozdział  92109: Domy i ośrodki kultury, świetlice i kluby</t>
  </si>
  <si>
    <t>Dział 926 : KULTURA FIZYCZNA I SPORT</t>
  </si>
  <si>
    <t xml:space="preserve">Budowa małej infrastruktury (kompleksu boisk) i obiektów sportowych na terenie gminy </t>
  </si>
  <si>
    <t>2007-2012</t>
  </si>
  <si>
    <t>Plan na
2008 rok</t>
  </si>
  <si>
    <t>0770</t>
  </si>
  <si>
    <t>Wpływy z opłaty targowej</t>
  </si>
  <si>
    <t>0370</t>
  </si>
  <si>
    <t>Pozostałe wydatki bieżące</t>
  </si>
  <si>
    <t>Przewidywane wykonanie roku 2007</t>
  </si>
  <si>
    <t>Pozostałe zadania Wspólnej Polityki Rolnej</t>
  </si>
  <si>
    <t>Wybory do Sejmu i Senatu</t>
  </si>
  <si>
    <t>Plan roku 2007</t>
  </si>
  <si>
    <t>Plan
2007 roku</t>
  </si>
  <si>
    <t>Obiekty sportowe</t>
  </si>
  <si>
    <t>% (rubr. 7:6)</t>
  </si>
  <si>
    <t>0010</t>
  </si>
  <si>
    <t>0020</t>
  </si>
  <si>
    <t>Zarządzanie kryzysowe</t>
  </si>
  <si>
    <t>Opłata od posiadania psów</t>
  </si>
  <si>
    <t>DOCHODY MAJĄTKOWE (rubr. 10+11)</t>
  </si>
  <si>
    <t>DOCHODY BIEŻĄCE (rubr. 13+14+15+16)</t>
  </si>
  <si>
    <t>Remont dróg osiedlowych w Miłkowicach (w tym ul. Stawowa, Działkowa, Słoneczna, 22-lipca)</t>
  </si>
  <si>
    <t>2008-2011</t>
  </si>
  <si>
    <t>Budowa drogi asfaltowej w Ulesiu - droga do obwodnicy Nr 3 - 1000m</t>
  </si>
  <si>
    <t>2008-2009</t>
  </si>
  <si>
    <t>Remont drogi transportu rolnego w Kochlicach</t>
  </si>
  <si>
    <t>Rozdział  90005: Ochrona powietrza atmosferycznego i klimatu</t>
  </si>
  <si>
    <t>Budowa Gminnego Ośrodka Zdrowia w Miłkowicach wraz z zakupem wyposażenia i zagospodarowaniem placu</t>
  </si>
  <si>
    <t>Uwagi</t>
  </si>
  <si>
    <t>dofinansowanie do 75% kosztów kwalif. 200.000)</t>
  </si>
  <si>
    <t>dofinansowanie do 75% kosztów kwalif. 300.000)</t>
  </si>
  <si>
    <t>dofinansowanie do 75% kosztów kwalif. 75.000)</t>
  </si>
  <si>
    <t>Rozdział  92601: Obiekty sportowe</t>
  </si>
  <si>
    <t>16.</t>
  </si>
  <si>
    <t>Wykup gruntów, na których posadowione są przepompownie ścieków oraz pod parking w Siedliskach</t>
  </si>
  <si>
    <t xml:space="preserve">na realizację programu profilaktycznego </t>
  </si>
  <si>
    <t>Rozbudowa gminnej sieci wodociągowej w Kochlicach</t>
  </si>
  <si>
    <t>Remont budynku 99 w Ulesiu - centralne ogrzewanie</t>
  </si>
  <si>
    <t>Pozostała działaność</t>
  </si>
  <si>
    <t>75095</t>
  </si>
  <si>
    <t>75421</t>
  </si>
  <si>
    <t>75018</t>
  </si>
  <si>
    <t>Urządy marszałkowskie</t>
  </si>
  <si>
    <t>75108</t>
  </si>
  <si>
    <t xml:space="preserve">   -    Urząd Gminy Miłkowice</t>
  </si>
  <si>
    <t>90001</t>
  </si>
  <si>
    <t>90008</t>
  </si>
  <si>
    <t>92601</t>
  </si>
  <si>
    <t>Kredyty i pożyczki</t>
  </si>
  <si>
    <t>środki budzetu j.s.t</t>
  </si>
  <si>
    <r>
      <t>Priorytet 4</t>
    </r>
    <r>
      <rPr>
        <sz val="10"/>
        <rFont val="Arial"/>
        <family val="2"/>
      </rPr>
      <t xml:space="preserve"> : Poprawa stanu środowiska naturalnego oraz zachowanie różnorodności biologicznej oraz walorów przyrodniczych Dolnego Śląska</t>
    </r>
  </si>
  <si>
    <r>
      <t>Priorytet 8</t>
    </r>
    <r>
      <rPr>
        <sz val="10"/>
        <rFont val="Arial"/>
        <family val="2"/>
      </rPr>
      <t xml:space="preserve"> : Modernizacja infrastruktury ochrony zdrowia na Dolnym Śląsku</t>
    </r>
  </si>
  <si>
    <r>
      <t>Priorytet 4</t>
    </r>
    <r>
      <rPr>
        <sz val="10"/>
        <rFont val="Arial"/>
        <family val="2"/>
      </rPr>
      <t>: Poprawa środowiska naturalnego oraz zachowanie różnorodności biologicznej i ochrony przyrody na Dolnym Śląsku</t>
    </r>
  </si>
  <si>
    <r>
      <t>Oś 3:</t>
    </r>
    <r>
      <rPr>
        <sz val="10"/>
        <rFont val="Arial"/>
        <family val="2"/>
      </rPr>
      <t xml:space="preserve"> Odnowa i rozwój wsi</t>
    </r>
  </si>
  <si>
    <t>Utworzenie Strefy Aktywności Gospodarczej w Rzeszotarach</t>
  </si>
  <si>
    <t>Utworzenie Centrum Edukacyjno-Kulturalnego w miejscowości Ulesie</t>
  </si>
  <si>
    <t>11.</t>
  </si>
  <si>
    <t>12.</t>
  </si>
  <si>
    <t>13.</t>
  </si>
  <si>
    <t>14.</t>
  </si>
  <si>
    <t>2008-2010</t>
  </si>
  <si>
    <t>Pożyczka i dotacja z WFOŚIGW</t>
  </si>
  <si>
    <t>Remont chodników w Siedliskach - 1500 m</t>
  </si>
  <si>
    <t>Budowa kotłowni ekologicznej dla kompleksu budynków publicznych w Miłkowicach</t>
  </si>
  <si>
    <t>Przebudowa kanalizacji sanitarnej w obrębie wsi Miłkowice (modernizacja kolektora sanitarnego przy ul. Proletariackiej)</t>
  </si>
  <si>
    <t>Budowa wodociągu tranzytowego Niedźwiedzice-Miłkowice i udział w budowie Stacji Uzdatniania Wody w Okmianach</t>
  </si>
  <si>
    <t>Dotacje podmiotowe i celowe w roku 2008</t>
  </si>
  <si>
    <t>Nazwa dotowanego</t>
  </si>
  <si>
    <t>Urząd Miasta Legnica</t>
  </si>
  <si>
    <t>na dofinansowanie prac remontowych przy zabytkach</t>
  </si>
  <si>
    <t>Urząd Gminy Chojnów</t>
  </si>
  <si>
    <t>na dofinansowanie inwestycji pn.: "Budowa Stacji Uzdatniania wody w Okmianach"</t>
  </si>
  <si>
    <t>na koszty utrzymania dziecka uczęszczającego do przedszkola w Legnicy</t>
  </si>
  <si>
    <t>Wykaz zadań inwestycyjnych na 2008 rok</t>
  </si>
  <si>
    <t>Nazwa i cel programu</t>
  </si>
  <si>
    <t>Okres realizacji</t>
  </si>
  <si>
    <t xml:space="preserve">Łączne nakłady finansowe </t>
  </si>
  <si>
    <r>
      <t xml:space="preserve">                             § 4300 </t>
    </r>
    <r>
      <rPr>
        <sz val="10"/>
        <rFont val="Arial CE"/>
        <family val="0"/>
      </rPr>
      <t xml:space="preserve">Edukacja Ekologiczna </t>
    </r>
  </si>
  <si>
    <t>Planowane wydatki budżetowe na realizację zadań programu w latach    2008 - 2010</t>
  </si>
  <si>
    <t xml:space="preserve">kredyty i pożyczki </t>
  </si>
  <si>
    <t xml:space="preserve">środki z UE </t>
  </si>
  <si>
    <t>Plan dochodów budżetu gminy na 2008 r.</t>
  </si>
  <si>
    <t>Koszty ogółem, w tym:</t>
  </si>
  <si>
    <t xml:space="preserve">     fundusze unijne</t>
  </si>
  <si>
    <t xml:space="preserve">     środki własne</t>
  </si>
  <si>
    <t xml:space="preserve">     kredyty i pożyczki</t>
  </si>
  <si>
    <t xml:space="preserve">     dotacje i inne środki</t>
  </si>
  <si>
    <t>2008 rok</t>
  </si>
  <si>
    <t>Wysokość wydatków w latach</t>
  </si>
  <si>
    <t>Budowa parkingu gminnego w Rzeszotarach</t>
  </si>
  <si>
    <t>Budowa zatoki autobusowej w Grzymalinie</t>
  </si>
  <si>
    <t>Wykonanie inwentaryzacji i planu zagospodarowania cmentarza w Miłkowice</t>
  </si>
  <si>
    <t>Zakup wozu technicznego niezbędnego do administrowania mieniem powierzonym GZGK</t>
  </si>
  <si>
    <t>dotacja celowa na dofinans. inwestycji</t>
  </si>
  <si>
    <t>Rozbudowa gminnej sieci wodociągowej w Miłkowicach</t>
  </si>
  <si>
    <t>Dotacja dla GZGK na wykonanie inwentaryzacji i planu zagospodarowania cmentarza w Miłkowicach</t>
  </si>
  <si>
    <t>Dotacja dla GZGK na zakup wozu technicznego do administrowania mieniem powierzonym GZGK</t>
  </si>
  <si>
    <t>Budowa kanalizacji sanitarnej wraz z przyłączami na terenie gminy Miłkowice dla miejscowości Ulesie i Lipce</t>
  </si>
  <si>
    <t>2009-2011</t>
  </si>
  <si>
    <t>Modernizacja oczyszczalni ścieków w Miłkowicach z remontem sieci wodociągowej - I etap Modernizacja oczyszczalni ścieków w Miłkowicach</t>
  </si>
  <si>
    <t>Ochrona przeciwpożarowa</t>
  </si>
  <si>
    <t>Jednostka organizacyjna realizująca program</t>
  </si>
  <si>
    <t>Biblioteki, domy i ośrodki kultury, świetlice i kluby</t>
  </si>
  <si>
    <t>Gospodarka gruntami i nierucho-mościami</t>
  </si>
  <si>
    <t>Zdrowie i opieka społeczna</t>
  </si>
  <si>
    <t>Edukacja i sport</t>
  </si>
  <si>
    <t xml:space="preserve">Budowa małej infrastruktury (kompleksu boisk wielofunkcyjnych) i obiektów sportowych na terenie gminy </t>
  </si>
  <si>
    <t>Przebudowa obiektu sportowego w Miłkowicach wraz z budową szatni</t>
  </si>
  <si>
    <t>Budowa szatni w Siedliskach</t>
  </si>
  <si>
    <t>Budowa wielofunkcyjnej hali sportowej przy Szkole Podstawowej w Rzeszotarach</t>
  </si>
  <si>
    <t>2009-2013</t>
  </si>
  <si>
    <t>Przebudowa Szkoły Podstawowej w Miłkowicach</t>
  </si>
  <si>
    <t>Transport i komunikacja</t>
  </si>
  <si>
    <t>Budowa drogi asfaltowej Grzymalinie na odcinku Grzymalin-Głuchowice 2000m</t>
  </si>
  <si>
    <t>Budowa dróg transportu rolniczego na terenie gminy - około 25 km</t>
  </si>
  <si>
    <t>Budowa ścieżek rowerowych na terenie gminy - około 10 km</t>
  </si>
  <si>
    <t>2010-2011</t>
  </si>
  <si>
    <t>Modernizacja placu targowego w Miłkowicach</t>
  </si>
  <si>
    <t>Ochrona środowiska</t>
  </si>
  <si>
    <t>środki z UE *)</t>
  </si>
  <si>
    <t>PLAN PRZYCHODÓW I ROZCHODÓW</t>
  </si>
  <si>
    <t>związanych z finansowaniem niedoboru i rozdysponowaniem                                    nadwyżki budżetowej</t>
  </si>
  <si>
    <t>DOCHODY  BUDŻETU GMINY</t>
  </si>
  <si>
    <t>WYDATKI  BUDŻETU GMINY</t>
  </si>
  <si>
    <t>KWOTA DEFICYTU BUDŻETOWEGO</t>
  </si>
  <si>
    <t>Rozdysponowanie przychodów i rozchodów</t>
  </si>
  <si>
    <t>Kwota w zł</t>
  </si>
  <si>
    <t>DOCHODY BUDŻETU GMINY</t>
  </si>
  <si>
    <t>PRZYCHODY BUDŻETU GMINY</t>
  </si>
  <si>
    <t>RAZEM</t>
  </si>
  <si>
    <t>ROZCHODY BUDŻETU GMINY</t>
  </si>
  <si>
    <t>WYDATKI BUDŻETU GMINY</t>
  </si>
  <si>
    <t>Plan wydatków budżetu gminy na  2008 r.</t>
  </si>
  <si>
    <t>% (rubr. 6:5)</t>
  </si>
  <si>
    <t>Budowa zatoki autobusowej w Jakuszowie</t>
  </si>
  <si>
    <t>Zakup wozu strażackiego</t>
  </si>
  <si>
    <t>22.</t>
  </si>
  <si>
    <t>Limit wydatków związanych z Wieloletnim Programem Inwestycyjnym Gminy Miłkowice na lata 2008-2010</t>
  </si>
  <si>
    <t>w tym dotacja dla Gminy Chojnów 90.000</t>
  </si>
  <si>
    <t>Rozbudowa gminnej sieci wodociągowej w Rzeszotarach ul.Młyńska</t>
  </si>
  <si>
    <t>Rozbudowa gminnej sieci wodociągowej w Lipcach</t>
  </si>
  <si>
    <t>Remont drogi transportu rolnego w Rzeszotarach</t>
  </si>
  <si>
    <t>dotacje i śr. z innych źródeł</t>
  </si>
  <si>
    <t>Zakup gruntu i pomieszczeń magazynowych w Miłkowicach z przeznaczeniem dla GZGK</t>
  </si>
  <si>
    <t>Remont i modernizacja remizy w OSP Rzeszotary</t>
  </si>
  <si>
    <t>Rozdział 80195 : Pozostała działalność</t>
  </si>
  <si>
    <t>Remont pokrycia dachowego w SP w Miłkowicach</t>
  </si>
  <si>
    <t>Remont Sali gimnastycznej w SP w Miłkowicach</t>
  </si>
  <si>
    <t>25.</t>
  </si>
  <si>
    <t>26.</t>
  </si>
  <si>
    <t>27.</t>
  </si>
  <si>
    <t>28.</t>
  </si>
  <si>
    <t>2320</t>
  </si>
  <si>
    <t>Dotacje celowe otrzymane z powiatu na zadania bieżące realizowane na podstawie porozumień (umów) między jednostkami samorządu terytorialnego</t>
  </si>
  <si>
    <t>Wpływy z tytułu odpłatnego nabycia prawa własności oraz prawa użytkowania wieczystego nieruchomości</t>
  </si>
  <si>
    <t>29.</t>
  </si>
  <si>
    <t>dotacja celowa na dofinansowanie inwestycji</t>
  </si>
  <si>
    <t>Rozdział  90002: Gospodarka odpadami</t>
  </si>
  <si>
    <t>Zakup pojemników do selektywnej zbiórki odpadów</t>
  </si>
  <si>
    <t>Dokumentacja hydrogeologiczna i pizmoetrów na składowisku odpadów w Grzymalinie</t>
  </si>
  <si>
    <t>Dział 710 : DZIAŁALNOŚĆ USŁUGOWA</t>
  </si>
  <si>
    <t>Rozdział 71035 : Cmentarze</t>
  </si>
  <si>
    <t>Rozdział 80113 : Dowóz uczniów do szkół</t>
  </si>
  <si>
    <t>Remont i modernizacja autobusu gminnego</t>
  </si>
  <si>
    <t>Remont drogi Grzymalin-Głuchowice</t>
  </si>
  <si>
    <r>
      <t>Wydatki majątkowe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(szczegółowy opis zadań w Zał.Nr 3)</t>
    </r>
  </si>
  <si>
    <r>
      <t>Plan
na 2008 r.</t>
    </r>
    <r>
      <rPr>
        <sz val="10"/>
        <rFont val="Arial"/>
        <family val="2"/>
      </rPr>
      <t xml:space="preserve">
(5+11)</t>
    </r>
  </si>
  <si>
    <t>Wynagrodzenia i pochodne</t>
  </si>
  <si>
    <t xml:space="preserve">   -    GOPS w Miłkowicach</t>
  </si>
  <si>
    <t>Pozostała działalność, w tym:</t>
  </si>
  <si>
    <t>Dokształcanie i doskonalenie nauczycieli, w tym:</t>
  </si>
  <si>
    <t>Rezerwy ogólne i celowe, w tym:</t>
  </si>
  <si>
    <t xml:space="preserve">   -    rezerwa ogólna</t>
  </si>
  <si>
    <t xml:space="preserve">   -    rezerwa celowa na wydatki bieżące związane z Zarządzaniem Kryzysowym</t>
  </si>
  <si>
    <t>71035</t>
  </si>
  <si>
    <t>Cmentarze</t>
  </si>
  <si>
    <t>Jednostka organizacyjna realizująca lub koordynująca wykonanie zadania</t>
  </si>
  <si>
    <t xml:space="preserve">Budowa drogi asfaltowej w Ulesiu - droga do obwodnicy </t>
  </si>
  <si>
    <t>30.</t>
  </si>
  <si>
    <t>Budowa hali sportowej przy SP Rzeszotary - (Plan Rozwoju Miejscowości Rzeszotary)</t>
  </si>
  <si>
    <t>Dokumentacja na modernizację obiektu sportowego w Głuchowicach wraz z budową budynku socjalnego</t>
  </si>
  <si>
    <t>zł</t>
  </si>
  <si>
    <t>5. Działalność usługowa</t>
  </si>
  <si>
    <t>Zmiana sposobu użytkowania i modernizacja budynku po byłej stołówce w Miłkowicach z przeznaczeniem na bibliotekę, czytelnię internetową i świetlicę</t>
  </si>
  <si>
    <t>Remont dróg transportu rolnego w Siedliskach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</si>
  <si>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</si>
  <si>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</si>
  <si>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</si>
  <si>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</si>
  <si>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</si>
  <si>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</si>
  <si>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</si>
  <si>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</si>
  <si>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</si>
  <si>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Zakup gruntów i pomieszczeń magazynowych na potrzeby GZGK w Miłkowicach</t>
  </si>
  <si>
    <t>2009-2010</t>
  </si>
  <si>
    <t>Zakup pojemników niezbędnych do prowadzenia selektywnej zbiórki odpadów na terenie gminy Miłkowice wraz z belownicą</t>
  </si>
  <si>
    <t>Rozbudowa terenów zielonych na terenie gminy (parki, skwery, place zabaw)</t>
  </si>
  <si>
    <r>
      <t xml:space="preserve">Nazwa projektu: </t>
    </r>
    <r>
      <rPr>
        <i/>
        <sz val="10"/>
        <color indexed="8"/>
        <rFont val="Arial"/>
        <family val="2"/>
      </rPr>
      <t>Budowa małej infrastruktury (budowa kompleksu boisk) i obiektów sportowych na terenie gminy (cztery boiska wielofunkcyjne)</t>
    </r>
  </si>
  <si>
    <r>
      <t xml:space="preserve">Nazwa Projektu:  </t>
    </r>
    <r>
      <rPr>
        <i/>
        <sz val="10"/>
        <color indexed="8"/>
        <rFont val="Arial"/>
        <family val="2"/>
      </rPr>
      <t>Zmiana sposobu użytkowania i modernizacja budynku po byłej stołówce w Miłkowicach z przeznaczeniem na bibliotekę, czytelnię internetową i świetlicę</t>
    </r>
  </si>
  <si>
    <t>wydatki inwestycyjne</t>
  </si>
  <si>
    <t>Rozliczenia
z budżetem
z tytułu wpłat nadwyżek środków za 2007 r.</t>
  </si>
  <si>
    <t>Dotacja dla GZGK na zakup pojemników do selektywnej zbiórki odpadów</t>
  </si>
  <si>
    <t>Dotacja dla GZGK na remont autobusu</t>
  </si>
  <si>
    <t>Dotacja dla GZGK na dokumantację hydrogeologiczną i piezometrów na składowisku odpadów w Grzymalinie</t>
  </si>
  <si>
    <r>
      <t xml:space="preserve">                             § 4210</t>
    </r>
    <r>
      <rPr>
        <sz val="10"/>
        <rFont val="Arial CE"/>
        <family val="0"/>
      </rPr>
      <t xml:space="preserve"> Nagrody w konkursie ekologicznym </t>
    </r>
  </si>
  <si>
    <r>
      <t xml:space="preserve">                             § 4300 </t>
    </r>
    <r>
      <rPr>
        <sz val="10"/>
        <rFont val="Arial CE"/>
        <family val="0"/>
      </rPr>
      <t>Wydanie ulotek proekologicznych</t>
    </r>
  </si>
  <si>
    <t>pozostałe dochody bieżące</t>
  </si>
  <si>
    <t>Remont dróg gminnych w Rzeszotarach</t>
  </si>
  <si>
    <t>Planowane wydatki w roku 2008    (od 6 do 11)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</si>
</sst>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</numFmts>
  <fonts count="4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11"/>
      <name val="Arial CE"/>
      <family val="0"/>
    </font>
    <font>
      <i/>
      <sz val="12"/>
      <name val="Arial CE"/>
      <family val="0"/>
    </font>
    <font>
      <b/>
      <sz val="9"/>
      <name val="Arial CE"/>
      <family val="0"/>
    </font>
    <font>
      <sz val="11"/>
      <name val="Arial CE"/>
      <family val="0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 CE"/>
      <family val="0"/>
    </font>
    <font>
      <b/>
      <sz val="8"/>
      <name val="Arial CE"/>
      <family val="2"/>
    </font>
    <font>
      <vertAlign val="superscript"/>
      <sz val="10"/>
      <name val="Arial CE"/>
      <family val="0"/>
    </font>
    <font>
      <i/>
      <sz val="10"/>
      <name val="Arial"/>
      <family val="2"/>
    </font>
    <font>
      <sz val="10"/>
      <name val="Times New Roman CE"/>
      <family val="1"/>
    </font>
    <font>
      <sz val="14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name val="Verdana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1"/>
      <name val="Verdana"/>
      <family val="2"/>
    </font>
    <font>
      <sz val="14"/>
      <name val="Arial CE"/>
      <family val="0"/>
    </font>
    <font>
      <i/>
      <sz val="14"/>
      <name val="Arial CE"/>
      <family val="0"/>
    </font>
    <font>
      <i/>
      <sz val="10"/>
      <color indexed="8"/>
      <name val="Arial"/>
      <family val="2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3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49" fontId="19" fillId="0" borderId="6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8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3" fontId="10" fillId="0" borderId="3" xfId="0" applyNumberFormat="1" applyFont="1" applyBorder="1" applyAlignment="1">
      <alignment vertical="center" wrapText="1"/>
    </xf>
    <xf numFmtId="49" fontId="25" fillId="0" borderId="3" xfId="0" applyNumberFormat="1" applyFont="1" applyBorder="1" applyAlignment="1">
      <alignment horizontal="center" vertical="center" wrapText="1"/>
    </xf>
    <xf numFmtId="3" fontId="25" fillId="0" borderId="3" xfId="0" applyNumberFormat="1" applyFont="1" applyBorder="1" applyAlignment="1">
      <alignment vertical="center" wrapText="1"/>
    </xf>
    <xf numFmtId="0" fontId="25" fillId="0" borderId="0" xfId="0" applyFont="1" applyAlignment="1">
      <alignment vertical="center"/>
    </xf>
    <xf numFmtId="3" fontId="0" fillId="0" borderId="0" xfId="0" applyNumberFormat="1" applyBorder="1" applyAlignment="1">
      <alignment vertical="center"/>
    </xf>
    <xf numFmtId="0" fontId="19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6" fillId="0" borderId="0" xfId="0" applyFont="1" applyAlignment="1">
      <alignment horizontal="center" vertical="center"/>
    </xf>
    <xf numFmtId="3" fontId="26" fillId="0" borderId="9" xfId="0" applyNumberFormat="1" applyFont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3" fontId="0" fillId="0" borderId="5" xfId="0" applyNumberFormat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center"/>
    </xf>
    <xf numFmtId="9" fontId="0" fillId="0" borderId="2" xfId="0" applyNumberFormat="1" applyBorder="1" applyAlignment="1">
      <alignment vertical="center"/>
    </xf>
    <xf numFmtId="9" fontId="0" fillId="0" borderId="3" xfId="0" applyNumberFormat="1" applyBorder="1" applyAlignment="1">
      <alignment vertical="center"/>
    </xf>
    <xf numFmtId="9" fontId="0" fillId="0" borderId="4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49" fontId="2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vertical="center" wrapText="1"/>
    </xf>
    <xf numFmtId="10" fontId="27" fillId="0" borderId="0" xfId="0" applyNumberFormat="1" applyFon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31" fillId="0" borderId="1" xfId="0" applyNumberFormat="1" applyFont="1" applyBorder="1" applyAlignment="1">
      <alignment horizontal="right" vertical="center" wrapText="1"/>
    </xf>
    <xf numFmtId="0" fontId="32" fillId="0" borderId="0" xfId="18" applyFont="1">
      <alignment/>
      <protection/>
    </xf>
    <xf numFmtId="0" fontId="32" fillId="0" borderId="0" xfId="18" applyFont="1" applyBorder="1">
      <alignment/>
      <protection/>
    </xf>
    <xf numFmtId="0" fontId="32" fillId="0" borderId="1" xfId="18" applyFont="1" applyBorder="1">
      <alignment/>
      <protection/>
    </xf>
    <xf numFmtId="0" fontId="32" fillId="0" borderId="10" xfId="18" applyFont="1" applyBorder="1">
      <alignment/>
      <protection/>
    </xf>
    <xf numFmtId="0" fontId="32" fillId="0" borderId="12" xfId="18" applyFont="1" applyBorder="1">
      <alignment/>
      <protection/>
    </xf>
    <xf numFmtId="0" fontId="32" fillId="0" borderId="0" xfId="18" applyFont="1" applyAlignment="1">
      <alignment horizontal="center"/>
      <protection/>
    </xf>
    <xf numFmtId="3" fontId="0" fillId="0" borderId="5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3" fillId="0" borderId="0" xfId="0" applyFont="1" applyAlignment="1">
      <alignment/>
    </xf>
    <xf numFmtId="0" fontId="25" fillId="0" borderId="0" xfId="0" applyFont="1" applyAlignment="1">
      <alignment/>
    </xf>
    <xf numFmtId="0" fontId="34" fillId="0" borderId="0" xfId="0" applyFont="1" applyAlignment="1">
      <alignment textRotation="180"/>
    </xf>
    <xf numFmtId="0" fontId="25" fillId="0" borderId="0" xfId="0" applyFont="1" applyAlignment="1">
      <alignment vertical="center" wrapText="1"/>
    </xf>
    <xf numFmtId="3" fontId="25" fillId="0" borderId="0" xfId="0" applyNumberFormat="1" applyFont="1" applyAlignment="1">
      <alignment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3" fontId="34" fillId="0" borderId="13" xfId="0" applyNumberFormat="1" applyFont="1" applyFill="1" applyBorder="1" applyAlignment="1">
      <alignment vertical="center" wrapText="1"/>
    </xf>
    <xf numFmtId="0" fontId="34" fillId="0" borderId="0" xfId="0" applyFont="1" applyFill="1" applyAlignment="1">
      <alignment textRotation="180"/>
    </xf>
    <xf numFmtId="0" fontId="25" fillId="0" borderId="0" xfId="0" applyFont="1" applyFill="1" applyAlignment="1">
      <alignment vertical="center" wrapText="1"/>
    </xf>
    <xf numFmtId="3" fontId="25" fillId="0" borderId="8" xfId="0" applyNumberFormat="1" applyFont="1" applyFill="1" applyBorder="1" applyAlignment="1">
      <alignment vertical="center" wrapText="1"/>
    </xf>
    <xf numFmtId="3" fontId="25" fillId="0" borderId="14" xfId="0" applyNumberFormat="1" applyFont="1" applyFill="1" applyBorder="1" applyAlignment="1">
      <alignment vertical="center" wrapText="1"/>
    </xf>
    <xf numFmtId="3" fontId="25" fillId="0" borderId="1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Alignment="1">
      <alignment horizontal="center" textRotation="180"/>
    </xf>
    <xf numFmtId="0" fontId="27" fillId="0" borderId="0" xfId="0" applyFont="1" applyFill="1" applyAlignment="1">
      <alignment horizontal="center" vertical="center" wrapText="1"/>
    </xf>
    <xf numFmtId="0" fontId="10" fillId="0" borderId="0" xfId="18" applyFont="1">
      <alignment/>
      <protection/>
    </xf>
    <xf numFmtId="0" fontId="15" fillId="0" borderId="0" xfId="18" applyFont="1" applyAlignment="1">
      <alignment vertical="center"/>
      <protection/>
    </xf>
    <xf numFmtId="0" fontId="10" fillId="0" borderId="0" xfId="18" applyFont="1" applyAlignment="1">
      <alignment vertical="center"/>
      <protection/>
    </xf>
    <xf numFmtId="0" fontId="13" fillId="0" borderId="1" xfId="18" applyFont="1" applyBorder="1" applyAlignment="1">
      <alignment vertical="center" wrapText="1"/>
      <protection/>
    </xf>
    <xf numFmtId="0" fontId="10" fillId="0" borderId="0" xfId="18" applyFont="1" applyBorder="1" applyAlignment="1">
      <alignment vertical="center"/>
      <protection/>
    </xf>
    <xf numFmtId="0" fontId="40" fillId="0" borderId="0" xfId="18" applyFont="1" applyAlignment="1">
      <alignment vertical="center"/>
      <protection/>
    </xf>
    <xf numFmtId="0" fontId="10" fillId="3" borderId="0" xfId="18" applyFont="1" applyFill="1" applyBorder="1" applyAlignment="1">
      <alignment vertical="center"/>
      <protection/>
    </xf>
    <xf numFmtId="0" fontId="10" fillId="0" borderId="15" xfId="18" applyFont="1" applyBorder="1" applyAlignment="1">
      <alignment vertical="center"/>
      <protection/>
    </xf>
    <xf numFmtId="49" fontId="19" fillId="0" borderId="8" xfId="0" applyNumberFormat="1" applyFont="1" applyBorder="1" applyAlignment="1">
      <alignment horizontal="center"/>
    </xf>
    <xf numFmtId="3" fontId="19" fillId="0" borderId="8" xfId="0" applyNumberFormat="1" applyFont="1" applyBorder="1" applyAlignment="1">
      <alignment vertical="center"/>
    </xf>
    <xf numFmtId="0" fontId="19" fillId="0" borderId="8" xfId="0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0" fillId="0" borderId="5" xfId="0" applyBorder="1" applyAlignment="1">
      <alignment horizontal="left" vertical="center" indent="2"/>
    </xf>
    <xf numFmtId="0" fontId="1" fillId="0" borderId="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 indent="1"/>
    </xf>
    <xf numFmtId="3" fontId="0" fillId="0" borderId="16" xfId="0" applyNumberForma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0" fillId="0" borderId="6" xfId="0" applyBorder="1" applyAlignment="1">
      <alignment horizontal="left" vertical="center" indent="2"/>
    </xf>
    <xf numFmtId="0" fontId="4" fillId="0" borderId="17" xfId="0" applyFont="1" applyBorder="1" applyAlignment="1">
      <alignment vertical="center" wrapText="1"/>
    </xf>
    <xf numFmtId="3" fontId="4" fillId="0" borderId="17" xfId="0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0" fontId="0" fillId="0" borderId="8" xfId="0" applyBorder="1" applyAlignment="1">
      <alignment horizontal="center"/>
    </xf>
    <xf numFmtId="0" fontId="22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3" fontId="0" fillId="0" borderId="8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 wrapText="1"/>
    </xf>
    <xf numFmtId="3" fontId="25" fillId="0" borderId="5" xfId="0" applyNumberFormat="1" applyFont="1" applyBorder="1" applyAlignment="1">
      <alignment vertical="center" wrapText="1"/>
    </xf>
    <xf numFmtId="49" fontId="25" fillId="0" borderId="6" xfId="0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left" vertical="center" wrapText="1"/>
    </xf>
    <xf numFmtId="3" fontId="25" fillId="0" borderId="6" xfId="0" applyNumberFormat="1" applyFont="1" applyBorder="1" applyAlignment="1">
      <alignment vertical="center" wrapText="1"/>
    </xf>
    <xf numFmtId="49" fontId="25" fillId="0" borderId="8" xfId="0" applyNumberFormat="1" applyFont="1" applyBorder="1" applyAlignment="1">
      <alignment horizontal="center" vertical="center" wrapText="1"/>
    </xf>
    <xf numFmtId="3" fontId="25" fillId="0" borderId="8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3" fontId="25" fillId="0" borderId="16" xfId="0" applyNumberFormat="1" applyFont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4" fillId="4" borderId="18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textRotation="90" wrapText="1"/>
    </xf>
    <xf numFmtId="0" fontId="21" fillId="2" borderId="19" xfId="0" applyFont="1" applyFill="1" applyBorder="1" applyAlignment="1">
      <alignment horizontal="center" textRotation="90" wrapText="1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34" fillId="4" borderId="10" xfId="0" applyFont="1" applyFill="1" applyBorder="1" applyAlignment="1">
      <alignment horizontal="center" vertical="center" wrapText="1"/>
    </xf>
    <xf numFmtId="3" fontId="25" fillId="0" borderId="2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0" fontId="10" fillId="0" borderId="1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1" fillId="2" borderId="21" xfId="0" applyFont="1" applyFill="1" applyBorder="1" applyAlignment="1">
      <alignment wrapText="1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8" fillId="0" borderId="7" xfId="0" applyFont="1" applyFill="1" applyBorder="1" applyAlignment="1">
      <alignment horizontal="center" vertical="center" wrapText="1"/>
    </xf>
    <xf numFmtId="9" fontId="0" fillId="0" borderId="5" xfId="0" applyNumberForma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0" fillId="0" borderId="2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0" fillId="0" borderId="27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10" fontId="27" fillId="0" borderId="9" xfId="0" applyNumberFormat="1" applyFont="1" applyBorder="1" applyAlignment="1">
      <alignment vertical="center" wrapText="1"/>
    </xf>
    <xf numFmtId="10" fontId="27" fillId="0" borderId="30" xfId="0" applyNumberFormat="1" applyFont="1" applyBorder="1" applyAlignment="1">
      <alignment vertical="center" wrapText="1"/>
    </xf>
    <xf numFmtId="10" fontId="27" fillId="0" borderId="11" xfId="0" applyNumberFormat="1" applyFont="1" applyBorder="1" applyAlignment="1">
      <alignment vertical="center" wrapText="1"/>
    </xf>
    <xf numFmtId="10" fontId="27" fillId="0" borderId="31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10" fontId="27" fillId="5" borderId="9" xfId="0" applyNumberFormat="1" applyFont="1" applyFill="1" applyBorder="1" applyAlignment="1">
      <alignment vertical="center" wrapText="1"/>
    </xf>
    <xf numFmtId="0" fontId="20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vertical="center"/>
    </xf>
    <xf numFmtId="3" fontId="20" fillId="5" borderId="10" xfId="0" applyNumberFormat="1" applyFont="1" applyFill="1" applyBorder="1" applyAlignment="1">
      <alignment vertical="center"/>
    </xf>
    <xf numFmtId="3" fontId="5" fillId="5" borderId="17" xfId="0" applyNumberFormat="1" applyFont="1" applyFill="1" applyBorder="1" applyAlignment="1">
      <alignment vertical="center"/>
    </xf>
    <xf numFmtId="3" fontId="5" fillId="5" borderId="21" xfId="0" applyNumberFormat="1" applyFont="1" applyFill="1" applyBorder="1" applyAlignment="1">
      <alignment vertical="center"/>
    </xf>
    <xf numFmtId="3" fontId="5" fillId="5" borderId="32" xfId="0" applyNumberFormat="1" applyFont="1" applyFill="1" applyBorder="1" applyAlignment="1">
      <alignment vertical="center"/>
    </xf>
    <xf numFmtId="10" fontId="27" fillId="5" borderId="33" xfId="0" applyNumberFormat="1" applyFont="1" applyFill="1" applyBorder="1" applyAlignment="1">
      <alignment vertical="center" wrapText="1"/>
    </xf>
    <xf numFmtId="3" fontId="7" fillId="6" borderId="34" xfId="0" applyNumberFormat="1" applyFont="1" applyFill="1" applyBorder="1" applyAlignment="1">
      <alignment vertical="center"/>
    </xf>
    <xf numFmtId="3" fontId="7" fillId="6" borderId="35" xfId="0" applyNumberFormat="1" applyFont="1" applyFill="1" applyBorder="1" applyAlignment="1">
      <alignment vertical="center"/>
    </xf>
    <xf numFmtId="3" fontId="7" fillId="6" borderId="36" xfId="0" applyNumberFormat="1" applyFont="1" applyFill="1" applyBorder="1" applyAlignment="1">
      <alignment vertical="center"/>
    </xf>
    <xf numFmtId="3" fontId="7" fillId="6" borderId="37" xfId="0" applyNumberFormat="1" applyFont="1" applyFill="1" applyBorder="1" applyAlignment="1">
      <alignment vertical="center"/>
    </xf>
    <xf numFmtId="3" fontId="7" fillId="6" borderId="38" xfId="0" applyNumberFormat="1" applyFont="1" applyFill="1" applyBorder="1" applyAlignment="1">
      <alignment vertical="center"/>
    </xf>
    <xf numFmtId="3" fontId="7" fillId="6" borderId="39" xfId="0" applyNumberFormat="1" applyFont="1" applyFill="1" applyBorder="1" applyAlignment="1">
      <alignment vertical="center"/>
    </xf>
    <xf numFmtId="3" fontId="20" fillId="6" borderId="34" xfId="0" applyNumberFormat="1" applyFont="1" applyFill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9" fillId="0" borderId="1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3" fontId="7" fillId="6" borderId="40" xfId="0" applyNumberFormat="1" applyFont="1" applyFill="1" applyBorder="1" applyAlignment="1">
      <alignment vertical="center"/>
    </xf>
    <xf numFmtId="10" fontId="27" fillId="0" borderId="41" xfId="0" applyNumberFormat="1" applyFont="1" applyBorder="1" applyAlignment="1">
      <alignment vertical="center" wrapText="1"/>
    </xf>
    <xf numFmtId="10" fontId="27" fillId="0" borderId="42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0" fontId="27" fillId="0" borderId="0" xfId="0" applyNumberFormat="1" applyFont="1" applyFill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49" fontId="22" fillId="0" borderId="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top" wrapText="1"/>
    </xf>
    <xf numFmtId="0" fontId="22" fillId="0" borderId="8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13" fillId="0" borderId="16" xfId="18" applyFont="1" applyBorder="1" applyAlignment="1">
      <alignment vertical="center"/>
      <protection/>
    </xf>
    <xf numFmtId="0" fontId="38" fillId="0" borderId="0" xfId="0" applyFont="1" applyAlignment="1">
      <alignment horizontal="right"/>
    </xf>
    <xf numFmtId="0" fontId="0" fillId="0" borderId="43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vertical="center"/>
    </xf>
    <xf numFmtId="0" fontId="0" fillId="0" borderId="6" xfId="0" applyFont="1" applyBorder="1" applyAlignment="1">
      <alignment/>
    </xf>
    <xf numFmtId="0" fontId="0" fillId="0" borderId="17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31" fillId="0" borderId="10" xfId="0" applyNumberFormat="1" applyFont="1" applyBorder="1" applyAlignment="1">
      <alignment horizontal="right" vertical="center" wrapText="1"/>
    </xf>
    <xf numFmtId="10" fontId="10" fillId="0" borderId="10" xfId="0" applyNumberFormat="1" applyFont="1" applyBorder="1" applyAlignment="1">
      <alignment horizontal="right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wrapText="1"/>
    </xf>
    <xf numFmtId="3" fontId="10" fillId="0" borderId="9" xfId="0" applyNumberFormat="1" applyFont="1" applyBorder="1" applyAlignment="1">
      <alignment horizontal="right" vertical="center" wrapText="1"/>
    </xf>
    <xf numFmtId="3" fontId="13" fillId="0" borderId="9" xfId="0" applyNumberFormat="1" applyFont="1" applyBorder="1" applyAlignment="1">
      <alignment horizontal="right" vertical="center" wrapText="1"/>
    </xf>
    <xf numFmtId="3" fontId="31" fillId="0" borderId="9" xfId="0" applyNumberFormat="1" applyFont="1" applyBorder="1" applyAlignment="1">
      <alignment horizontal="right" vertical="center" wrapText="1"/>
    </xf>
    <xf numFmtId="10" fontId="10" fillId="0" borderId="9" xfId="0" applyNumberFormat="1" applyFont="1" applyBorder="1" applyAlignment="1">
      <alignment horizontal="right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wrapText="1"/>
    </xf>
    <xf numFmtId="3" fontId="10" fillId="0" borderId="34" xfId="0" applyNumberFormat="1" applyFont="1" applyBorder="1" applyAlignment="1">
      <alignment horizontal="right" vertical="center" wrapText="1"/>
    </xf>
    <xf numFmtId="3" fontId="13" fillId="0" borderId="34" xfId="0" applyNumberFormat="1" applyFont="1" applyBorder="1" applyAlignment="1">
      <alignment horizontal="right" vertical="center" wrapText="1"/>
    </xf>
    <xf numFmtId="3" fontId="31" fillId="0" borderId="34" xfId="0" applyNumberFormat="1" applyFont="1" applyBorder="1" applyAlignment="1">
      <alignment horizontal="right" vertical="center" wrapText="1"/>
    </xf>
    <xf numFmtId="10" fontId="10" fillId="0" borderId="34" xfId="0" applyNumberFormat="1" applyFont="1" applyBorder="1" applyAlignment="1">
      <alignment horizontal="right" vertical="center" wrapText="1"/>
    </xf>
    <xf numFmtId="10" fontId="10" fillId="0" borderId="45" xfId="0" applyNumberFormat="1" applyFont="1" applyBorder="1" applyAlignment="1">
      <alignment horizontal="right" vertical="center" wrapText="1"/>
    </xf>
    <xf numFmtId="3" fontId="25" fillId="0" borderId="9" xfId="0" applyNumberFormat="1" applyFont="1" applyFill="1" applyBorder="1" applyAlignment="1">
      <alignment vertical="center" wrapText="1"/>
    </xf>
    <xf numFmtId="3" fontId="10" fillId="0" borderId="46" xfId="0" applyNumberFormat="1" applyFont="1" applyFill="1" applyBorder="1" applyAlignment="1">
      <alignment vertical="center" wrapText="1"/>
    </xf>
    <xf numFmtId="3" fontId="10" fillId="0" borderId="29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13" fillId="0" borderId="16" xfId="18" applyFont="1" applyBorder="1" applyAlignment="1">
      <alignment vertical="center" wrapText="1"/>
      <protection/>
    </xf>
    <xf numFmtId="0" fontId="13" fillId="0" borderId="13" xfId="18" applyFont="1" applyBorder="1" applyAlignment="1">
      <alignment vertical="center"/>
      <protection/>
    </xf>
    <xf numFmtId="0" fontId="13" fillId="0" borderId="16" xfId="18" applyFont="1" applyBorder="1" applyAlignment="1">
      <alignment vertical="center"/>
      <protection/>
    </xf>
    <xf numFmtId="0" fontId="13" fillId="0" borderId="0" xfId="0" applyFont="1" applyAlignment="1">
      <alignment/>
    </xf>
    <xf numFmtId="0" fontId="19" fillId="0" borderId="16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3" fontId="10" fillId="0" borderId="0" xfId="0" applyNumberFormat="1" applyFont="1" applyFill="1" applyBorder="1" applyAlignment="1">
      <alignment vertical="center" wrapText="1"/>
    </xf>
    <xf numFmtId="3" fontId="25" fillId="0" borderId="47" xfId="0" applyNumberFormat="1" applyFont="1" applyFill="1" applyBorder="1" applyAlignment="1">
      <alignment vertical="center" wrapText="1"/>
    </xf>
    <xf numFmtId="3" fontId="10" fillId="0" borderId="48" xfId="0" applyNumberFormat="1" applyFont="1" applyFill="1" applyBorder="1" applyAlignment="1">
      <alignment vertical="center" wrapText="1"/>
    </xf>
    <xf numFmtId="3" fontId="25" fillId="0" borderId="41" xfId="0" applyNumberFormat="1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10" fillId="0" borderId="27" xfId="0" applyNumberFormat="1" applyFont="1" applyFill="1" applyBorder="1" applyAlignment="1">
      <alignment vertical="center" wrapText="1"/>
    </xf>
    <xf numFmtId="3" fontId="10" fillId="0" borderId="29" xfId="0" applyNumberFormat="1" applyFont="1" applyBorder="1" applyAlignment="1">
      <alignment vertical="center" wrapText="1"/>
    </xf>
    <xf numFmtId="3" fontId="10" fillId="0" borderId="27" xfId="0" applyNumberFormat="1" applyFont="1" applyBorder="1" applyAlignment="1">
      <alignment vertical="center" wrapText="1"/>
    </xf>
    <xf numFmtId="3" fontId="25" fillId="0" borderId="48" xfId="0" applyNumberFormat="1" applyFont="1" applyFill="1" applyBorder="1" applyAlignment="1">
      <alignment vertical="center" wrapText="1"/>
    </xf>
    <xf numFmtId="3" fontId="25" fillId="0" borderId="12" xfId="0" applyNumberFormat="1" applyFont="1" applyFill="1" applyBorder="1" applyAlignment="1">
      <alignment vertical="center" wrapText="1"/>
    </xf>
    <xf numFmtId="3" fontId="25" fillId="0" borderId="15" xfId="0" applyNumberFormat="1" applyFont="1" applyFill="1" applyBorder="1" applyAlignment="1">
      <alignment vertical="center" wrapText="1"/>
    </xf>
    <xf numFmtId="0" fontId="34" fillId="4" borderId="12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3" fontId="34" fillId="0" borderId="49" xfId="0" applyNumberFormat="1" applyFont="1" applyFill="1" applyBorder="1" applyAlignment="1">
      <alignment vertical="center" wrapText="1"/>
    </xf>
    <xf numFmtId="3" fontId="25" fillId="0" borderId="16" xfId="0" applyNumberFormat="1" applyFont="1" applyFill="1" applyBorder="1" applyAlignment="1">
      <alignment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3" fillId="0" borderId="0" xfId="0" applyFont="1" applyBorder="1" applyAlignment="1">
      <alignment/>
    </xf>
    <xf numFmtId="3" fontId="10" fillId="0" borderId="10" xfId="0" applyNumberFormat="1" applyFont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 wrapText="1"/>
    </xf>
    <xf numFmtId="3" fontId="25" fillId="0" borderId="12" xfId="0" applyNumberFormat="1" applyFont="1" applyBorder="1" applyAlignment="1">
      <alignment vertical="center" wrapText="1"/>
    </xf>
    <xf numFmtId="3" fontId="13" fillId="0" borderId="50" xfId="0" applyNumberFormat="1" applyFont="1" applyBorder="1" applyAlignment="1">
      <alignment vertical="center" wrapText="1"/>
    </xf>
    <xf numFmtId="3" fontId="34" fillId="0" borderId="18" xfId="0" applyNumberFormat="1" applyFont="1" applyFill="1" applyBorder="1" applyAlignment="1">
      <alignment vertical="center" wrapText="1"/>
    </xf>
    <xf numFmtId="3" fontId="34" fillId="0" borderId="51" xfId="0" applyNumberFormat="1" applyFont="1" applyFill="1" applyBorder="1" applyAlignment="1">
      <alignment vertical="center" wrapText="1"/>
    </xf>
    <xf numFmtId="3" fontId="25" fillId="0" borderId="52" xfId="0" applyNumberFormat="1" applyFont="1" applyFill="1" applyBorder="1" applyAlignment="1">
      <alignment vertical="center" wrapText="1"/>
    </xf>
    <xf numFmtId="3" fontId="10" fillId="0" borderId="53" xfId="0" applyNumberFormat="1" applyFont="1" applyFill="1" applyBorder="1" applyAlignment="1">
      <alignment vertical="center" wrapText="1"/>
    </xf>
    <xf numFmtId="0" fontId="10" fillId="0" borderId="0" xfId="18" applyFont="1" applyBorder="1" applyAlignment="1">
      <alignment horizontal="center" vertical="center"/>
      <protection/>
    </xf>
    <xf numFmtId="0" fontId="13" fillId="0" borderId="0" xfId="18" applyFont="1" applyBorder="1" applyAlignment="1">
      <alignment horizontal="center" vertical="center"/>
      <protection/>
    </xf>
    <xf numFmtId="3" fontId="13" fillId="0" borderId="0" xfId="18" applyNumberFormat="1" applyFont="1" applyBorder="1" applyAlignment="1">
      <alignment horizontal="center" vertical="center"/>
      <protection/>
    </xf>
    <xf numFmtId="0" fontId="10" fillId="0" borderId="54" xfId="18" applyFont="1" applyBorder="1" applyAlignment="1">
      <alignment horizontal="center" vertical="center"/>
      <protection/>
    </xf>
    <xf numFmtId="0" fontId="10" fillId="0" borderId="17" xfId="18" applyFont="1" applyBorder="1" applyAlignment="1">
      <alignment vertical="center"/>
      <protection/>
    </xf>
    <xf numFmtId="0" fontId="34" fillId="0" borderId="0" xfId="18" applyFont="1" applyBorder="1" applyAlignment="1">
      <alignment horizontal="center" vertical="top" wrapText="1"/>
      <protection/>
    </xf>
    <xf numFmtId="0" fontId="27" fillId="0" borderId="0" xfId="0" applyFont="1" applyBorder="1" applyAlignment="1">
      <alignment horizontal="right" vertical="center"/>
    </xf>
    <xf numFmtId="0" fontId="15" fillId="0" borderId="16" xfId="18" applyFont="1" applyBorder="1" applyAlignment="1">
      <alignment horizontal="center" vertical="center" wrapText="1"/>
      <protection/>
    </xf>
    <xf numFmtId="3" fontId="15" fillId="0" borderId="16" xfId="18" applyNumberFormat="1" applyFont="1" applyBorder="1" applyAlignment="1">
      <alignment horizontal="center" vertical="center"/>
      <protection/>
    </xf>
    <xf numFmtId="0" fontId="39" fillId="2" borderId="14" xfId="18" applyFont="1" applyFill="1" applyBorder="1" applyAlignment="1">
      <alignment horizontal="center" vertical="center" wrapText="1"/>
      <protection/>
    </xf>
    <xf numFmtId="0" fontId="39" fillId="2" borderId="55" xfId="18" applyFont="1" applyFill="1" applyBorder="1" applyAlignment="1">
      <alignment horizontal="center" vertical="center" wrapText="1"/>
      <protection/>
    </xf>
    <xf numFmtId="3" fontId="26" fillId="0" borderId="16" xfId="18" applyNumberFormat="1" applyFont="1" applyBorder="1" applyAlignment="1">
      <alignment horizontal="center" vertical="center"/>
      <protection/>
    </xf>
    <xf numFmtId="3" fontId="26" fillId="0" borderId="1" xfId="18" applyNumberFormat="1" applyFont="1" applyBorder="1" applyAlignment="1">
      <alignment horizontal="center" vertical="center"/>
      <protection/>
    </xf>
    <xf numFmtId="3" fontId="24" fillId="0" borderId="1" xfId="18" applyNumberFormat="1" applyFont="1" applyBorder="1" applyAlignment="1">
      <alignment horizontal="center" vertical="center"/>
      <protection/>
    </xf>
    <xf numFmtId="3" fontId="24" fillId="0" borderId="56" xfId="18" applyNumberFormat="1" applyFont="1" applyBorder="1" applyAlignment="1">
      <alignment horizontal="center" vertical="center"/>
      <protection/>
    </xf>
    <xf numFmtId="1" fontId="26" fillId="0" borderId="1" xfId="18" applyNumberFormat="1" applyFont="1" applyBorder="1" applyAlignment="1">
      <alignment horizontal="center" vertical="center"/>
      <protection/>
    </xf>
    <xf numFmtId="1" fontId="26" fillId="0" borderId="16" xfId="18" applyNumberFormat="1" applyFont="1" applyBorder="1" applyAlignment="1">
      <alignment horizontal="center" vertical="center"/>
      <protection/>
    </xf>
    <xf numFmtId="195" fontId="24" fillId="0" borderId="1" xfId="18" applyNumberFormat="1" applyFont="1" applyBorder="1" applyAlignment="1">
      <alignment horizontal="center" vertical="center"/>
      <protection/>
    </xf>
    <xf numFmtId="195" fontId="24" fillId="0" borderId="56" xfId="18" applyNumberFormat="1" applyFont="1" applyBorder="1" applyAlignment="1">
      <alignment horizontal="center" vertical="center"/>
      <protection/>
    </xf>
    <xf numFmtId="1" fontId="24" fillId="0" borderId="1" xfId="18" applyNumberFormat="1" applyFont="1" applyBorder="1" applyAlignment="1">
      <alignment horizontal="center" vertical="center"/>
      <protection/>
    </xf>
    <xf numFmtId="3" fontId="24" fillId="0" borderId="7" xfId="18" applyNumberFormat="1" applyFont="1" applyBorder="1" applyAlignment="1">
      <alignment horizontal="center" vertical="center"/>
      <protection/>
    </xf>
    <xf numFmtId="195" fontId="24" fillId="0" borderId="7" xfId="18" applyNumberFormat="1" applyFont="1" applyBorder="1" applyAlignment="1">
      <alignment horizontal="center" vertical="center"/>
      <protection/>
    </xf>
    <xf numFmtId="0" fontId="24" fillId="0" borderId="1" xfId="18" applyNumberFormat="1" applyFont="1" applyBorder="1" applyAlignment="1">
      <alignment horizontal="center" vertical="center"/>
      <protection/>
    </xf>
    <xf numFmtId="1" fontId="24" fillId="0" borderId="56" xfId="18" applyNumberFormat="1" applyFont="1" applyBorder="1" applyAlignment="1">
      <alignment horizontal="center" vertical="center"/>
      <protection/>
    </xf>
    <xf numFmtId="3" fontId="26" fillId="0" borderId="17" xfId="18" applyNumberFormat="1" applyFont="1" applyBorder="1" applyAlignment="1">
      <alignment horizontal="center" vertical="center"/>
      <protection/>
    </xf>
    <xf numFmtId="3" fontId="26" fillId="0" borderId="19" xfId="18" applyNumberFormat="1" applyFont="1" applyBorder="1" applyAlignment="1">
      <alignment horizontal="center" vertical="center"/>
      <protection/>
    </xf>
    <xf numFmtId="0" fontId="34" fillId="0" borderId="17" xfId="18" applyFont="1" applyBorder="1" applyAlignment="1">
      <alignment horizontal="center" vertical="center"/>
      <protection/>
    </xf>
    <xf numFmtId="0" fontId="25" fillId="0" borderId="9" xfId="18" applyFont="1" applyBorder="1" applyAlignment="1">
      <alignment vertical="center"/>
      <protection/>
    </xf>
    <xf numFmtId="0" fontId="25" fillId="0" borderId="57" xfId="18" applyFont="1" applyBorder="1" applyAlignment="1">
      <alignment vertical="center"/>
      <protection/>
    </xf>
    <xf numFmtId="0" fontId="27" fillId="0" borderId="8" xfId="18" applyFont="1" applyBorder="1" applyAlignment="1">
      <alignment horizontal="center" vertical="center"/>
      <protection/>
    </xf>
    <xf numFmtId="0" fontId="25" fillId="0" borderId="58" xfId="18" applyFont="1" applyBorder="1" applyAlignment="1">
      <alignment vertical="center"/>
      <protection/>
    </xf>
    <xf numFmtId="0" fontId="25" fillId="0" borderId="41" xfId="18" applyFont="1" applyBorder="1" applyAlignment="1">
      <alignment vertical="center"/>
      <protection/>
    </xf>
    <xf numFmtId="0" fontId="25" fillId="0" borderId="9" xfId="18" applyFont="1" applyBorder="1" applyAlignment="1">
      <alignment vertical="center" wrapText="1"/>
      <protection/>
    </xf>
    <xf numFmtId="0" fontId="25" fillId="0" borderId="47" xfId="18" applyFont="1" applyBorder="1" applyAlignment="1">
      <alignment vertical="center"/>
      <protection/>
    </xf>
    <xf numFmtId="0" fontId="27" fillId="0" borderId="8" xfId="18" applyFont="1" applyBorder="1" applyAlignment="1">
      <alignment vertical="center"/>
      <protection/>
    </xf>
    <xf numFmtId="0" fontId="13" fillId="0" borderId="1" xfId="18" applyFont="1" applyBorder="1" applyAlignment="1">
      <alignment horizontal="center" vertical="center" wrapText="1"/>
      <protection/>
    </xf>
    <xf numFmtId="0" fontId="27" fillId="0" borderId="1" xfId="18" applyFont="1" applyBorder="1" applyAlignment="1">
      <alignment horizontal="center" vertical="center" wrapText="1"/>
      <protection/>
    </xf>
    <xf numFmtId="0" fontId="10" fillId="0" borderId="8" xfId="18" applyFont="1" applyBorder="1" applyAlignment="1">
      <alignment horizontal="center" vertical="center"/>
      <protection/>
    </xf>
    <xf numFmtId="49" fontId="37" fillId="0" borderId="8" xfId="18" applyNumberFormat="1" applyFont="1" applyBorder="1" applyAlignment="1">
      <alignment vertical="center" wrapText="1"/>
      <protection/>
    </xf>
    <xf numFmtId="0" fontId="37" fillId="0" borderId="8" xfId="18" applyFont="1" applyBorder="1" applyAlignment="1">
      <alignment vertical="center"/>
      <protection/>
    </xf>
    <xf numFmtId="49" fontId="37" fillId="0" borderId="8" xfId="18" applyNumberFormat="1" applyFont="1" applyBorder="1" applyAlignment="1">
      <alignment vertical="center"/>
      <protection/>
    </xf>
    <xf numFmtId="49" fontId="37" fillId="0" borderId="8" xfId="18" applyNumberFormat="1" applyFont="1" applyBorder="1" applyAlignment="1">
      <alignment horizontal="left" vertical="center"/>
      <protection/>
    </xf>
    <xf numFmtId="0" fontId="20" fillId="0" borderId="16" xfId="0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3" fontId="19" fillId="0" borderId="16" xfId="0" applyNumberFormat="1" applyFont="1" applyBorder="1" applyAlignment="1">
      <alignment vertical="center"/>
    </xf>
    <xf numFmtId="3" fontId="19" fillId="0" borderId="27" xfId="0" applyNumberFormat="1" applyFont="1" applyBorder="1" applyAlignment="1">
      <alignment vertical="center"/>
    </xf>
    <xf numFmtId="3" fontId="20" fillId="6" borderId="40" xfId="0" applyNumberFormat="1" applyFont="1" applyFill="1" applyBorder="1" applyAlignment="1">
      <alignment vertical="center"/>
    </xf>
    <xf numFmtId="0" fontId="15" fillId="0" borderId="59" xfId="18" applyFont="1" applyBorder="1" applyAlignment="1">
      <alignment horizontal="center" vertical="center" wrapText="1"/>
      <protection/>
    </xf>
    <xf numFmtId="3" fontId="15" fillId="0" borderId="60" xfId="18" applyNumberFormat="1" applyFont="1" applyBorder="1" applyAlignment="1">
      <alignment horizontal="center" vertical="center"/>
      <protection/>
    </xf>
    <xf numFmtId="0" fontId="13" fillId="0" borderId="61" xfId="18" applyFont="1" applyBorder="1" applyAlignment="1">
      <alignment horizontal="center" vertical="center"/>
      <protection/>
    </xf>
    <xf numFmtId="3" fontId="26" fillId="0" borderId="60" xfId="18" applyNumberFormat="1" applyFont="1" applyBorder="1" applyAlignment="1">
      <alignment horizontal="center" vertical="center"/>
      <protection/>
    </xf>
    <xf numFmtId="0" fontId="10" fillId="0" borderId="61" xfId="18" applyFont="1" applyBorder="1" applyAlignment="1">
      <alignment horizontal="center" vertical="center"/>
      <protection/>
    </xf>
    <xf numFmtId="3" fontId="26" fillId="0" borderId="52" xfId="18" applyNumberFormat="1" applyFont="1" applyBorder="1" applyAlignment="1">
      <alignment horizontal="center" vertical="center"/>
      <protection/>
    </xf>
    <xf numFmtId="0" fontId="13" fillId="0" borderId="61" xfId="18" applyFont="1" applyBorder="1" applyAlignment="1">
      <alignment horizontal="center" vertical="center"/>
      <protection/>
    </xf>
    <xf numFmtId="3" fontId="26" fillId="0" borderId="62" xfId="18" applyNumberFormat="1" applyFont="1" applyBorder="1" applyAlignment="1">
      <alignment horizontal="center" vertical="center"/>
      <protection/>
    </xf>
    <xf numFmtId="0" fontId="10" fillId="0" borderId="63" xfId="18" applyFont="1" applyBorder="1" applyAlignment="1">
      <alignment horizontal="center" vertical="center"/>
      <protection/>
    </xf>
    <xf numFmtId="0" fontId="10" fillId="0" borderId="14" xfId="18" applyFont="1" applyBorder="1" applyAlignment="1">
      <alignment horizontal="center" vertical="center"/>
      <protection/>
    </xf>
    <xf numFmtId="49" fontId="37" fillId="0" borderId="14" xfId="18" applyNumberFormat="1" applyFont="1" applyBorder="1" applyAlignment="1">
      <alignment vertical="center"/>
      <protection/>
    </xf>
    <xf numFmtId="3" fontId="26" fillId="0" borderId="64" xfId="18" applyNumberFormat="1" applyFont="1" applyBorder="1" applyAlignment="1">
      <alignment horizontal="center" vertical="center"/>
      <protection/>
    </xf>
    <xf numFmtId="0" fontId="37" fillId="0" borderId="14" xfId="18" applyFont="1" applyBorder="1" applyAlignment="1">
      <alignment vertical="center"/>
      <protection/>
    </xf>
    <xf numFmtId="0" fontId="37" fillId="0" borderId="65" xfId="18" applyFont="1" applyBorder="1" applyAlignment="1">
      <alignment horizontal="center" vertical="center" wrapText="1"/>
      <protection/>
    </xf>
    <xf numFmtId="0" fontId="27" fillId="0" borderId="14" xfId="18" applyFont="1" applyBorder="1" applyAlignment="1">
      <alignment horizontal="center" vertical="center"/>
      <protection/>
    </xf>
    <xf numFmtId="0" fontId="27" fillId="0" borderId="14" xfId="18" applyFont="1" applyBorder="1" applyAlignment="1">
      <alignment vertical="center"/>
      <protection/>
    </xf>
    <xf numFmtId="195" fontId="24" fillId="0" borderId="14" xfId="18" applyNumberFormat="1" applyFont="1" applyBorder="1" applyAlignment="1">
      <alignment horizontal="center" vertical="center"/>
      <protection/>
    </xf>
    <xf numFmtId="0" fontId="13" fillId="0" borderId="1" xfId="18" applyFont="1" applyBorder="1" applyAlignment="1">
      <alignment vertical="center"/>
      <protection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8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3" fontId="10" fillId="0" borderId="0" xfId="0" applyNumberFormat="1" applyFont="1" applyAlignment="1">
      <alignment horizontal="center"/>
    </xf>
    <xf numFmtId="3" fontId="0" fillId="0" borderId="48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66" xfId="0" applyFont="1" applyBorder="1" applyAlignment="1">
      <alignment horizontal="left" vertical="center"/>
    </xf>
    <xf numFmtId="3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vertical="center" wrapText="1"/>
    </xf>
    <xf numFmtId="49" fontId="25" fillId="0" borderId="4" xfId="0" applyNumberFormat="1" applyFont="1" applyBorder="1" applyAlignment="1">
      <alignment horizontal="center" vertical="center" wrapText="1"/>
    </xf>
    <xf numFmtId="3" fontId="25" fillId="0" borderId="4" xfId="0" applyNumberFormat="1" applyFont="1" applyBorder="1" applyAlignment="1">
      <alignment vertical="center" wrapText="1"/>
    </xf>
    <xf numFmtId="0" fontId="35" fillId="0" borderId="3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3" fontId="31" fillId="0" borderId="3" xfId="0" applyNumberFormat="1" applyFont="1" applyBorder="1" applyAlignment="1">
      <alignment vertical="center" wrapText="1"/>
    </xf>
    <xf numFmtId="3" fontId="31" fillId="0" borderId="4" xfId="0" applyNumberFormat="1" applyFont="1" applyBorder="1" applyAlignment="1">
      <alignment vertical="center" wrapText="1"/>
    </xf>
    <xf numFmtId="3" fontId="35" fillId="0" borderId="4" xfId="0" applyNumberFormat="1" applyFont="1" applyBorder="1" applyAlignment="1">
      <alignment vertical="center" wrapText="1"/>
    </xf>
    <xf numFmtId="3" fontId="35" fillId="0" borderId="5" xfId="0" applyNumberFormat="1" applyFont="1" applyBorder="1" applyAlignment="1">
      <alignment vertical="center" wrapText="1"/>
    </xf>
    <xf numFmtId="0" fontId="35" fillId="0" borderId="6" xfId="0" applyFont="1" applyBorder="1" applyAlignment="1">
      <alignment horizontal="left" vertical="center" wrapText="1"/>
    </xf>
    <xf numFmtId="3" fontId="31" fillId="0" borderId="6" xfId="0" applyNumberFormat="1" applyFont="1" applyBorder="1" applyAlignment="1">
      <alignment vertical="center" wrapText="1"/>
    </xf>
    <xf numFmtId="0" fontId="14" fillId="0" borderId="29" xfId="0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vertical="center" wrapText="1"/>
    </xf>
    <xf numFmtId="3" fontId="25" fillId="0" borderId="25" xfId="0" applyNumberFormat="1" applyFont="1" applyBorder="1" applyAlignment="1">
      <alignment vertical="center" wrapText="1"/>
    </xf>
    <xf numFmtId="3" fontId="25" fillId="0" borderId="24" xfId="0" applyNumberFormat="1" applyFont="1" applyBorder="1" applyAlignment="1">
      <alignment vertical="center" wrapText="1"/>
    </xf>
    <xf numFmtId="3" fontId="25" fillId="0" borderId="28" xfId="0" applyNumberFormat="1" applyFont="1" applyBorder="1" applyAlignment="1">
      <alignment vertical="center" wrapText="1"/>
    </xf>
    <xf numFmtId="3" fontId="25" fillId="0" borderId="29" xfId="0" applyNumberFormat="1" applyFont="1" applyBorder="1" applyAlignment="1">
      <alignment vertical="center" wrapText="1"/>
    </xf>
    <xf numFmtId="3" fontId="25" fillId="0" borderId="26" xfId="0" applyNumberFormat="1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10" fontId="27" fillId="0" borderId="43" xfId="0" applyNumberFormat="1" applyFont="1" applyBorder="1" applyAlignment="1">
      <alignment vertical="center" wrapText="1"/>
    </xf>
    <xf numFmtId="0" fontId="14" fillId="0" borderId="38" xfId="0" applyFont="1" applyBorder="1" applyAlignment="1">
      <alignment horizontal="center" vertical="center" wrapText="1"/>
    </xf>
    <xf numFmtId="3" fontId="25" fillId="0" borderId="36" xfId="0" applyNumberFormat="1" applyFont="1" applyBorder="1" applyAlignment="1">
      <alignment vertical="center" wrapText="1"/>
    </xf>
    <xf numFmtId="3" fontId="25" fillId="0" borderId="35" xfId="0" applyNumberFormat="1" applyFont="1" applyBorder="1" applyAlignment="1">
      <alignment vertical="center" wrapText="1"/>
    </xf>
    <xf numFmtId="3" fontId="25" fillId="0" borderId="39" xfId="0" applyNumberFormat="1" applyFont="1" applyBorder="1" applyAlignment="1">
      <alignment vertical="center" wrapText="1"/>
    </xf>
    <xf numFmtId="3" fontId="25" fillId="0" borderId="38" xfId="0" applyNumberFormat="1" applyFont="1" applyBorder="1" applyAlignment="1">
      <alignment vertical="center" wrapText="1"/>
    </xf>
    <xf numFmtId="3" fontId="25" fillId="0" borderId="67" xfId="0" applyNumberFormat="1" applyFont="1" applyBorder="1" applyAlignment="1">
      <alignment vertical="center" wrapText="1"/>
    </xf>
    <xf numFmtId="3" fontId="31" fillId="0" borderId="24" xfId="0" applyNumberFormat="1" applyFont="1" applyBorder="1" applyAlignment="1">
      <alignment vertical="center" wrapText="1"/>
    </xf>
    <xf numFmtId="3" fontId="31" fillId="0" borderId="26" xfId="0" applyNumberFormat="1" applyFont="1" applyBorder="1" applyAlignment="1">
      <alignment vertical="center" wrapText="1"/>
    </xf>
    <xf numFmtId="3" fontId="35" fillId="0" borderId="35" xfId="0" applyNumberFormat="1" applyFont="1" applyBorder="1" applyAlignment="1">
      <alignment vertical="center" wrapText="1"/>
    </xf>
    <xf numFmtId="3" fontId="35" fillId="0" borderId="67" xfId="0" applyNumberFormat="1" applyFont="1" applyBorder="1" applyAlignment="1">
      <alignment vertical="center" wrapText="1"/>
    </xf>
    <xf numFmtId="3" fontId="35" fillId="0" borderId="8" xfId="0" applyNumberFormat="1" applyFont="1" applyBorder="1" applyAlignment="1">
      <alignment vertical="center" wrapText="1"/>
    </xf>
    <xf numFmtId="0" fontId="35" fillId="0" borderId="5" xfId="0" applyFont="1" applyBorder="1" applyAlignment="1">
      <alignment horizontal="left" vertical="center" wrapText="1"/>
    </xf>
    <xf numFmtId="3" fontId="31" fillId="0" borderId="5" xfId="0" applyNumberFormat="1" applyFont="1" applyBorder="1" applyAlignment="1">
      <alignment vertical="center" wrapText="1"/>
    </xf>
    <xf numFmtId="3" fontId="31" fillId="0" borderId="25" xfId="0" applyNumberFormat="1" applyFont="1" applyBorder="1" applyAlignment="1">
      <alignment vertical="center" wrapText="1"/>
    </xf>
    <xf numFmtId="3" fontId="35" fillId="0" borderId="36" xfId="0" applyNumberFormat="1" applyFont="1" applyBorder="1" applyAlignment="1">
      <alignment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vertical="center" wrapText="1"/>
    </xf>
    <xf numFmtId="3" fontId="25" fillId="0" borderId="68" xfId="0" applyNumberFormat="1" applyFont="1" applyBorder="1" applyAlignment="1">
      <alignment vertical="center" wrapText="1"/>
    </xf>
    <xf numFmtId="3" fontId="25" fillId="0" borderId="44" xfId="0" applyNumberFormat="1" applyFont="1" applyBorder="1" applyAlignment="1">
      <alignment vertical="center" wrapText="1"/>
    </xf>
    <xf numFmtId="10" fontId="27" fillId="0" borderId="58" xfId="0" applyNumberFormat="1" applyFont="1" applyBorder="1" applyAlignment="1">
      <alignment vertical="center" wrapText="1"/>
    </xf>
    <xf numFmtId="3" fontId="25" fillId="0" borderId="1" xfId="0" applyNumberFormat="1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3" fontId="31" fillId="0" borderId="28" xfId="0" applyNumberFormat="1" applyFont="1" applyBorder="1" applyAlignment="1">
      <alignment vertical="center" wrapText="1"/>
    </xf>
    <xf numFmtId="3" fontId="25" fillId="0" borderId="34" xfId="0" applyNumberFormat="1" applyFont="1" applyBorder="1" applyAlignment="1">
      <alignment vertical="center" wrapText="1"/>
    </xf>
    <xf numFmtId="3" fontId="35" fillId="0" borderId="39" xfId="0" applyNumberFormat="1" applyFont="1" applyBorder="1" applyAlignment="1">
      <alignment vertical="center" wrapText="1"/>
    </xf>
    <xf numFmtId="3" fontId="25" fillId="0" borderId="27" xfId="0" applyNumberFormat="1" applyFont="1" applyBorder="1" applyAlignment="1">
      <alignment vertical="center" wrapText="1"/>
    </xf>
    <xf numFmtId="3" fontId="26" fillId="0" borderId="12" xfId="0" applyNumberFormat="1" applyFont="1" applyBorder="1" applyAlignment="1">
      <alignment horizontal="right" vertical="center" wrapText="1"/>
    </xf>
    <xf numFmtId="3" fontId="26" fillId="0" borderId="45" xfId="0" applyNumberFormat="1" applyFont="1" applyBorder="1" applyAlignment="1">
      <alignment horizontal="right" vertical="center" wrapText="1"/>
    </xf>
    <xf numFmtId="0" fontId="4" fillId="4" borderId="7" xfId="20" applyFont="1" applyFill="1" applyBorder="1" applyAlignment="1">
      <alignment horizontal="center" vertical="center" wrapText="1"/>
      <protection/>
    </xf>
    <xf numFmtId="0" fontId="4" fillId="4" borderId="8" xfId="20" applyFont="1" applyFill="1" applyBorder="1" applyAlignment="1">
      <alignment horizontal="center" vertical="center" wrapText="1"/>
      <protection/>
    </xf>
    <xf numFmtId="0" fontId="3" fillId="0" borderId="0" xfId="20" applyFont="1" applyAlignment="1">
      <alignment vertical="center" wrapText="1"/>
      <protection/>
    </xf>
    <xf numFmtId="0" fontId="33" fillId="0" borderId="0" xfId="20" applyFont="1">
      <alignment/>
      <protection/>
    </xf>
    <xf numFmtId="0" fontId="25" fillId="0" borderId="0" xfId="20" applyFont="1">
      <alignment/>
      <protection/>
    </xf>
    <xf numFmtId="3" fontId="25" fillId="0" borderId="0" xfId="20" applyNumberFormat="1" applyFont="1">
      <alignment/>
      <protection/>
    </xf>
    <xf numFmtId="0" fontId="8" fillId="0" borderId="0" xfId="20" applyFont="1" applyAlignment="1">
      <alignment horizontal="right" vertical="center"/>
      <protection/>
    </xf>
    <xf numFmtId="0" fontId="34" fillId="0" borderId="0" xfId="20" applyFont="1" applyAlignment="1">
      <alignment textRotation="180"/>
      <protection/>
    </xf>
    <xf numFmtId="0" fontId="34" fillId="4" borderId="18" xfId="20" applyFont="1" applyFill="1" applyBorder="1" applyAlignment="1">
      <alignment horizontal="center" vertical="center" wrapText="1"/>
      <protection/>
    </xf>
    <xf numFmtId="0" fontId="25" fillId="0" borderId="0" xfId="20" applyFont="1" applyAlignment="1">
      <alignment vertical="center" wrapText="1"/>
      <protection/>
    </xf>
    <xf numFmtId="0" fontId="34" fillId="4" borderId="10" xfId="20" applyFont="1" applyFill="1" applyBorder="1" applyAlignment="1">
      <alignment horizontal="center" vertical="center" wrapText="1"/>
      <protection/>
    </xf>
    <xf numFmtId="0" fontId="27" fillId="0" borderId="69" xfId="20" applyFont="1" applyFill="1" applyBorder="1" applyAlignment="1">
      <alignment horizontal="center" vertical="center" wrapText="1"/>
      <protection/>
    </xf>
    <xf numFmtId="0" fontId="27" fillId="0" borderId="7" xfId="20" applyFont="1" applyFill="1" applyBorder="1" applyAlignment="1">
      <alignment horizontal="center" vertical="center" wrapText="1"/>
      <protection/>
    </xf>
    <xf numFmtId="3" fontId="8" fillId="0" borderId="7" xfId="20" applyNumberFormat="1" applyFont="1" applyFill="1" applyBorder="1" applyAlignment="1">
      <alignment horizontal="center" vertical="center" wrapText="1"/>
      <protection/>
    </xf>
    <xf numFmtId="0" fontId="8" fillId="0" borderId="7" xfId="20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0" fontId="27" fillId="0" borderId="0" xfId="20" applyFont="1" applyFill="1" applyAlignment="1">
      <alignment horizontal="center" textRotation="180"/>
      <protection/>
    </xf>
    <xf numFmtId="0" fontId="27" fillId="0" borderId="0" xfId="20" applyFont="1" applyFill="1" applyAlignment="1">
      <alignment horizontal="center" vertical="center" wrapText="1"/>
      <protection/>
    </xf>
    <xf numFmtId="3" fontId="34" fillId="0" borderId="13" xfId="20" applyNumberFormat="1" applyFont="1" applyFill="1" applyBorder="1" applyAlignment="1">
      <alignment vertical="center" wrapText="1"/>
      <protection/>
    </xf>
    <xf numFmtId="0" fontId="34" fillId="0" borderId="0" xfId="20" applyFont="1" applyFill="1" applyAlignment="1">
      <alignment textRotation="180"/>
      <protection/>
    </xf>
    <xf numFmtId="0" fontId="25" fillId="0" borderId="0" xfId="20" applyFont="1" applyFill="1" applyAlignment="1">
      <alignment vertical="center" wrapText="1"/>
      <protection/>
    </xf>
    <xf numFmtId="3" fontId="35" fillId="0" borderId="1" xfId="20" applyNumberFormat="1" applyFont="1" applyFill="1" applyBorder="1" applyAlignment="1">
      <alignment vertical="center" wrapText="1"/>
      <protection/>
    </xf>
    <xf numFmtId="0" fontId="25" fillId="0" borderId="65" xfId="20" applyFont="1" applyFill="1" applyBorder="1" applyAlignment="1">
      <alignment horizontal="center" vertical="center" wrapText="1"/>
      <protection/>
    </xf>
    <xf numFmtId="0" fontId="10" fillId="0" borderId="1" xfId="20" applyFont="1" applyFill="1" applyBorder="1" applyAlignment="1">
      <alignment vertical="center" wrapText="1"/>
      <protection/>
    </xf>
    <xf numFmtId="0" fontId="10" fillId="0" borderId="1" xfId="20" applyNumberFormat="1" applyFont="1" applyFill="1" applyBorder="1" applyAlignment="1">
      <alignment horizontal="center" vertical="center" wrapText="1"/>
      <protection/>
    </xf>
    <xf numFmtId="3" fontId="25" fillId="0" borderId="1" xfId="20" applyNumberFormat="1" applyFont="1" applyFill="1" applyBorder="1" applyAlignment="1">
      <alignment vertical="center" wrapText="1"/>
      <protection/>
    </xf>
    <xf numFmtId="3" fontId="27" fillId="0" borderId="1" xfId="20" applyNumberFormat="1" applyFont="1" applyFill="1" applyBorder="1" applyAlignment="1">
      <alignment vertical="center" wrapText="1"/>
      <protection/>
    </xf>
    <xf numFmtId="3" fontId="10" fillId="0" borderId="70" xfId="20" applyNumberFormat="1" applyFont="1" applyFill="1" applyBorder="1" applyAlignment="1">
      <alignment horizontal="center" vertical="center" wrapText="1"/>
      <protection/>
    </xf>
    <xf numFmtId="0" fontId="10" fillId="0" borderId="1" xfId="20" applyFont="1" applyFill="1" applyBorder="1" applyAlignment="1">
      <alignment vertical="top" wrapText="1"/>
      <protection/>
    </xf>
    <xf numFmtId="3" fontId="25" fillId="0" borderId="1" xfId="20" applyNumberFormat="1" applyFont="1" applyFill="1" applyBorder="1" applyAlignment="1">
      <alignment horizontal="right" vertical="center" wrapText="1"/>
      <protection/>
    </xf>
    <xf numFmtId="3" fontId="48" fillId="0" borderId="1" xfId="20" applyNumberFormat="1" applyFont="1" applyFill="1" applyBorder="1" applyAlignment="1">
      <alignment horizontal="center" vertical="center" wrapText="1"/>
      <protection/>
    </xf>
    <xf numFmtId="3" fontId="35" fillId="0" borderId="16" xfId="20" applyNumberFormat="1" applyFont="1" applyFill="1" applyBorder="1" applyAlignment="1">
      <alignment vertical="center" wrapText="1"/>
      <protection/>
    </xf>
    <xf numFmtId="0" fontId="10" fillId="0" borderId="1" xfId="20" applyFont="1" applyFill="1" applyBorder="1" applyAlignment="1">
      <alignment horizontal="left" vertical="center" wrapText="1"/>
      <protection/>
    </xf>
    <xf numFmtId="3" fontId="25" fillId="0" borderId="10" xfId="20" applyNumberFormat="1" applyFont="1" applyFill="1" applyBorder="1" applyAlignment="1">
      <alignment vertical="center" wrapText="1"/>
      <protection/>
    </xf>
    <xf numFmtId="3" fontId="34" fillId="0" borderId="17" xfId="20" applyNumberFormat="1" applyFont="1" applyFill="1" applyBorder="1" applyAlignment="1">
      <alignment vertical="center" wrapText="1"/>
      <protection/>
    </xf>
    <xf numFmtId="0" fontId="10" fillId="0" borderId="9" xfId="20" applyFont="1" applyFill="1" applyBorder="1" applyAlignment="1">
      <alignment horizontal="left" vertical="center" wrapText="1"/>
      <protection/>
    </xf>
    <xf numFmtId="3" fontId="25" fillId="0" borderId="9" xfId="20" applyNumberFormat="1" applyFont="1" applyFill="1" applyBorder="1" applyAlignment="1">
      <alignment horizontal="right" vertical="center" wrapText="1"/>
      <protection/>
    </xf>
    <xf numFmtId="0" fontId="25" fillId="0" borderId="59" xfId="20" applyFont="1" applyFill="1" applyBorder="1" applyAlignment="1">
      <alignment horizontal="center" vertical="center" wrapText="1"/>
      <protection/>
    </xf>
    <xf numFmtId="0" fontId="10" fillId="0" borderId="41" xfId="20" applyFont="1" applyFill="1" applyBorder="1" applyAlignment="1">
      <alignment horizontal="left" vertical="center" wrapText="1"/>
      <protection/>
    </xf>
    <xf numFmtId="0" fontId="10" fillId="0" borderId="16" xfId="20" applyNumberFormat="1" applyFont="1" applyFill="1" applyBorder="1" applyAlignment="1">
      <alignment horizontal="center" vertical="center" wrapText="1"/>
      <protection/>
    </xf>
    <xf numFmtId="3" fontId="25" fillId="0" borderId="16" xfId="20" applyNumberFormat="1" applyFont="1" applyFill="1" applyBorder="1" applyAlignment="1">
      <alignment vertical="center" wrapText="1"/>
      <protection/>
    </xf>
    <xf numFmtId="3" fontId="25" fillId="0" borderId="27" xfId="20" applyNumberFormat="1" applyFont="1" applyFill="1" applyBorder="1" applyAlignment="1">
      <alignment vertical="center" wrapText="1"/>
      <protection/>
    </xf>
    <xf numFmtId="3" fontId="27" fillId="0" borderId="16" xfId="20" applyNumberFormat="1" applyFont="1" applyFill="1" applyBorder="1" applyAlignment="1">
      <alignment vertical="center" wrapText="1"/>
      <protection/>
    </xf>
    <xf numFmtId="3" fontId="25" fillId="0" borderId="41" xfId="20" applyNumberFormat="1" applyFont="1" applyFill="1" applyBorder="1" applyAlignment="1">
      <alignment vertical="center" wrapText="1"/>
      <protection/>
    </xf>
    <xf numFmtId="0" fontId="10" fillId="0" borderId="16" xfId="20" applyFont="1" applyFill="1" applyBorder="1" applyAlignment="1">
      <alignment horizontal="left" vertical="center" wrapText="1"/>
      <protection/>
    </xf>
    <xf numFmtId="0" fontId="25" fillId="0" borderId="0" xfId="20" applyFont="1" applyFill="1" applyBorder="1" applyAlignment="1">
      <alignment horizontal="center" vertical="center" wrapText="1"/>
      <protection/>
    </xf>
    <xf numFmtId="0" fontId="10" fillId="0" borderId="0" xfId="20" applyFont="1" applyFill="1" applyBorder="1" applyAlignment="1">
      <alignment vertical="center" wrapText="1"/>
      <protection/>
    </xf>
    <xf numFmtId="1" fontId="10" fillId="0" borderId="0" xfId="20" applyNumberFormat="1" applyFont="1" applyFill="1" applyBorder="1" applyAlignment="1">
      <alignment horizontal="center" vertical="center" wrapText="1"/>
      <protection/>
    </xf>
    <xf numFmtId="3" fontId="25" fillId="0" borderId="0" xfId="20" applyNumberFormat="1" applyFont="1" applyFill="1" applyBorder="1" applyAlignment="1">
      <alignment vertical="center" wrapText="1"/>
      <protection/>
    </xf>
    <xf numFmtId="0" fontId="10" fillId="0" borderId="0" xfId="20" applyFont="1" applyFill="1" applyBorder="1" applyAlignment="1">
      <alignment horizontal="center" vertical="center" wrapText="1"/>
      <protection/>
    </xf>
    <xf numFmtId="0" fontId="27" fillId="0" borderId="54" xfId="20" applyFont="1" applyFill="1" applyBorder="1" applyAlignment="1">
      <alignment horizontal="center" vertical="center" wrapText="1"/>
      <protection/>
    </xf>
    <xf numFmtId="0" fontId="27" fillId="0" borderId="17" xfId="20" applyFont="1" applyFill="1" applyBorder="1" applyAlignment="1">
      <alignment horizontal="center" vertical="center" wrapText="1"/>
      <protection/>
    </xf>
    <xf numFmtId="3" fontId="8" fillId="0" borderId="17" xfId="20" applyNumberFormat="1" applyFont="1" applyFill="1" applyBorder="1" applyAlignment="1">
      <alignment horizontal="center" vertical="center" wrapText="1"/>
      <protection/>
    </xf>
    <xf numFmtId="0" fontId="8" fillId="0" borderId="17" xfId="20" applyFont="1" applyFill="1" applyBorder="1" applyAlignment="1">
      <alignment horizontal="center" vertical="center" wrapText="1"/>
      <protection/>
    </xf>
    <xf numFmtId="0" fontId="8" fillId="0" borderId="19" xfId="20" applyFont="1" applyFill="1" applyBorder="1" applyAlignment="1">
      <alignment horizontal="center" vertical="center" wrapText="1"/>
      <protection/>
    </xf>
    <xf numFmtId="3" fontId="34" fillId="0" borderId="21" xfId="20" applyNumberFormat="1" applyFont="1" applyFill="1" applyBorder="1" applyAlignment="1">
      <alignment vertical="center" wrapText="1"/>
      <protection/>
    </xf>
    <xf numFmtId="0" fontId="10" fillId="0" borderId="19" xfId="20" applyFont="1" applyFill="1" applyBorder="1" applyAlignment="1">
      <alignment vertical="center" wrapText="1"/>
      <protection/>
    </xf>
    <xf numFmtId="0" fontId="10" fillId="0" borderId="60" xfId="20" applyFont="1" applyFill="1" applyBorder="1" applyAlignment="1">
      <alignment vertical="center" wrapText="1"/>
      <protection/>
    </xf>
    <xf numFmtId="1" fontId="10" fillId="0" borderId="9" xfId="20" applyNumberFormat="1" applyFont="1" applyFill="1" applyBorder="1" applyAlignment="1">
      <alignment horizontal="center" vertical="center" wrapText="1"/>
      <protection/>
    </xf>
    <xf numFmtId="0" fontId="25" fillId="0" borderId="71" xfId="20" applyFont="1" applyFill="1" applyBorder="1" applyAlignment="1">
      <alignment horizontal="center" vertical="center" wrapText="1"/>
      <protection/>
    </xf>
    <xf numFmtId="0" fontId="10" fillId="0" borderId="14" xfId="20" applyFont="1" applyFill="1" applyBorder="1" applyAlignment="1">
      <alignment vertical="center" wrapText="1"/>
      <protection/>
    </xf>
    <xf numFmtId="1" fontId="10" fillId="0" borderId="20" xfId="20" applyNumberFormat="1" applyFont="1" applyFill="1" applyBorder="1" applyAlignment="1">
      <alignment horizontal="center" vertical="center" wrapText="1"/>
      <protection/>
    </xf>
    <xf numFmtId="3" fontId="25" fillId="0" borderId="14" xfId="20" applyNumberFormat="1" applyFont="1" applyFill="1" applyBorder="1" applyAlignment="1">
      <alignment vertical="center" wrapText="1"/>
      <protection/>
    </xf>
    <xf numFmtId="3" fontId="25" fillId="0" borderId="53" xfId="20" applyNumberFormat="1" applyFont="1" applyFill="1" applyBorder="1" applyAlignment="1">
      <alignment vertical="center" wrapText="1"/>
      <protection/>
    </xf>
    <xf numFmtId="0" fontId="10" fillId="0" borderId="55" xfId="20" applyFont="1" applyFill="1" applyBorder="1" applyAlignment="1">
      <alignment vertical="center" wrapText="1"/>
      <protection/>
    </xf>
    <xf numFmtId="3" fontId="34" fillId="0" borderId="68" xfId="20" applyNumberFormat="1" applyFont="1" applyFill="1" applyBorder="1" applyAlignment="1">
      <alignment vertical="center" wrapText="1"/>
      <protection/>
    </xf>
    <xf numFmtId="3" fontId="34" fillId="0" borderId="50" xfId="20" applyNumberFormat="1" applyFont="1" applyFill="1" applyBorder="1" applyAlignment="1">
      <alignment vertical="center" wrapText="1"/>
      <protection/>
    </xf>
    <xf numFmtId="0" fontId="10" fillId="0" borderId="72" xfId="20" applyFont="1" applyFill="1" applyBorder="1" applyAlignment="1">
      <alignment vertical="center" wrapText="1"/>
      <protection/>
    </xf>
    <xf numFmtId="1" fontId="10" fillId="0" borderId="1" xfId="20" applyNumberFormat="1" applyFont="1" applyFill="1" applyBorder="1" applyAlignment="1">
      <alignment horizontal="center" vertical="center" wrapText="1"/>
      <protection/>
    </xf>
    <xf numFmtId="0" fontId="25" fillId="0" borderId="65" xfId="20" applyFont="1" applyFill="1" applyBorder="1" applyAlignment="1">
      <alignment vertical="center" wrapText="1"/>
      <protection/>
    </xf>
    <xf numFmtId="0" fontId="25" fillId="0" borderId="71" xfId="20" applyFont="1" applyFill="1" applyBorder="1" applyAlignment="1">
      <alignment vertical="center" wrapText="1"/>
      <protection/>
    </xf>
    <xf numFmtId="1" fontId="10" fillId="0" borderId="14" xfId="20" applyNumberFormat="1" applyFont="1" applyFill="1" applyBorder="1" applyAlignment="1">
      <alignment horizontal="center" vertical="center" wrapText="1"/>
      <protection/>
    </xf>
    <xf numFmtId="3" fontId="34" fillId="0" borderId="16" xfId="20" applyNumberFormat="1" applyFont="1" applyFill="1" applyBorder="1" applyAlignment="1">
      <alignment vertical="center" wrapText="1"/>
      <protection/>
    </xf>
    <xf numFmtId="3" fontId="34" fillId="0" borderId="27" xfId="20" applyNumberFormat="1" applyFont="1" applyFill="1" applyBorder="1" applyAlignment="1">
      <alignment vertical="center" wrapText="1"/>
      <protection/>
    </xf>
    <xf numFmtId="0" fontId="25" fillId="0" borderId="73" xfId="20" applyFont="1" applyFill="1" applyBorder="1" applyAlignment="1">
      <alignment vertical="center" wrapText="1"/>
      <protection/>
    </xf>
    <xf numFmtId="0" fontId="10" fillId="0" borderId="56" xfId="20" applyFont="1" applyFill="1" applyBorder="1" applyAlignment="1">
      <alignment vertical="center" wrapText="1"/>
      <protection/>
    </xf>
    <xf numFmtId="3" fontId="25" fillId="0" borderId="56" xfId="20" applyNumberFormat="1" applyFont="1" applyFill="1" applyBorder="1" applyAlignment="1">
      <alignment vertical="center" wrapText="1"/>
      <protection/>
    </xf>
    <xf numFmtId="3" fontId="25" fillId="0" borderId="74" xfId="20" applyNumberFormat="1" applyFont="1" applyFill="1" applyBorder="1" applyAlignment="1">
      <alignment vertical="center" wrapText="1"/>
      <protection/>
    </xf>
    <xf numFmtId="3" fontId="34" fillId="0" borderId="29" xfId="20" applyNumberFormat="1" applyFont="1" applyFill="1" applyBorder="1" applyAlignment="1">
      <alignment vertical="center" wrapText="1"/>
      <protection/>
    </xf>
    <xf numFmtId="1" fontId="10" fillId="0" borderId="56" xfId="20" applyNumberFormat="1" applyFont="1" applyFill="1" applyBorder="1" applyAlignment="1">
      <alignment horizontal="center" vertical="center" wrapText="1"/>
      <protection/>
    </xf>
    <xf numFmtId="0" fontId="25" fillId="0" borderId="75" xfId="20" applyFont="1" applyFill="1" applyBorder="1" applyAlignment="1">
      <alignment horizontal="center" vertical="center" wrapText="1"/>
      <protection/>
    </xf>
    <xf numFmtId="0" fontId="25" fillId="0" borderId="61" xfId="20" applyFont="1" applyFill="1" applyBorder="1" applyAlignment="1">
      <alignment horizontal="center" vertical="center" wrapText="1"/>
      <protection/>
    </xf>
    <xf numFmtId="0" fontId="10" fillId="0" borderId="76" xfId="20" applyFont="1" applyFill="1" applyBorder="1" applyAlignment="1">
      <alignment vertical="center" wrapText="1"/>
      <protection/>
    </xf>
    <xf numFmtId="0" fontId="34" fillId="0" borderId="0" xfId="20" applyFont="1" applyFill="1" applyBorder="1" applyAlignment="1">
      <alignment textRotation="180"/>
      <protection/>
    </xf>
    <xf numFmtId="0" fontId="25" fillId="0" borderId="0" xfId="20" applyFont="1" applyFill="1" applyBorder="1" applyAlignment="1">
      <alignment vertical="center" wrapText="1"/>
      <protection/>
    </xf>
    <xf numFmtId="0" fontId="25" fillId="0" borderId="77" xfId="20" applyFont="1" applyFill="1" applyBorder="1" applyAlignment="1">
      <alignment vertical="center" wrapText="1"/>
      <protection/>
    </xf>
    <xf numFmtId="0" fontId="10" fillId="0" borderId="8" xfId="20" applyFont="1" applyFill="1" applyBorder="1" applyAlignment="1">
      <alignment vertical="center" wrapText="1"/>
      <protection/>
    </xf>
    <xf numFmtId="3" fontId="25" fillId="0" borderId="8" xfId="20" applyNumberFormat="1" applyFont="1" applyFill="1" applyBorder="1" applyAlignment="1">
      <alignment vertical="center" wrapText="1"/>
      <protection/>
    </xf>
    <xf numFmtId="3" fontId="25" fillId="0" borderId="29" xfId="20" applyNumberFormat="1" applyFont="1" applyFill="1" applyBorder="1" applyAlignment="1">
      <alignment vertical="center" wrapText="1"/>
      <protection/>
    </xf>
    <xf numFmtId="4" fontId="10" fillId="0" borderId="12" xfId="19" applyNumberFormat="1" applyFont="1" applyBorder="1" applyAlignment="1">
      <alignment vertical="center" wrapText="1"/>
      <protection/>
    </xf>
    <xf numFmtId="0" fontId="34" fillId="0" borderId="78" xfId="20" applyFont="1" applyFill="1" applyBorder="1" applyAlignment="1">
      <alignment vertical="center" wrapText="1"/>
      <protection/>
    </xf>
    <xf numFmtId="3" fontId="34" fillId="0" borderId="33" xfId="20" applyNumberFormat="1" applyFont="1" applyFill="1" applyBorder="1" applyAlignment="1">
      <alignment vertical="center" wrapText="1"/>
      <protection/>
    </xf>
    <xf numFmtId="3" fontId="34" fillId="0" borderId="19" xfId="20" applyNumberFormat="1" applyFont="1" applyFill="1" applyBorder="1" applyAlignment="1">
      <alignment vertical="center" wrapText="1"/>
      <protection/>
    </xf>
    <xf numFmtId="0" fontId="36" fillId="0" borderId="0" xfId="20" applyFont="1" applyAlignment="1">
      <alignment vertical="top"/>
      <protection/>
    </xf>
    <xf numFmtId="3" fontId="34" fillId="0" borderId="0" xfId="20" applyNumberFormat="1" applyFont="1" applyBorder="1" applyAlignment="1">
      <alignment vertical="center" wrapText="1"/>
      <protection/>
    </xf>
    <xf numFmtId="0" fontId="34" fillId="0" borderId="0" xfId="20" applyFont="1" applyAlignment="1">
      <alignment vertical="center" wrapText="1"/>
      <protection/>
    </xf>
    <xf numFmtId="0" fontId="38" fillId="0" borderId="0" xfId="20" applyFont="1">
      <alignment/>
      <protection/>
    </xf>
    <xf numFmtId="3" fontId="38" fillId="0" borderId="0" xfId="20" applyNumberFormat="1" applyFont="1">
      <alignment/>
      <protection/>
    </xf>
    <xf numFmtId="0" fontId="38" fillId="0" borderId="0" xfId="20" applyFont="1" applyAlignment="1">
      <alignment horizontal="right"/>
      <protection/>
    </xf>
    <xf numFmtId="0" fontId="41" fillId="0" borderId="0" xfId="20" applyFont="1">
      <alignment/>
      <protection/>
    </xf>
    <xf numFmtId="0" fontId="44" fillId="0" borderId="0" xfId="20" applyFont="1">
      <alignment/>
      <protection/>
    </xf>
    <xf numFmtId="0" fontId="10" fillId="0" borderId="7" xfId="20" applyFont="1" applyFill="1" applyBorder="1" applyAlignment="1">
      <alignment horizontal="center" vertical="center" wrapText="1"/>
      <protection/>
    </xf>
    <xf numFmtId="0" fontId="10" fillId="0" borderId="16" xfId="20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22" fillId="0" borderId="16" xfId="0" applyFont="1" applyBorder="1" applyAlignment="1">
      <alignment horizontal="center" vertical="center"/>
    </xf>
    <xf numFmtId="3" fontId="25" fillId="0" borderId="79" xfId="0" applyNumberFormat="1" applyFont="1" applyBorder="1" applyAlignment="1">
      <alignment vertical="center" wrapText="1"/>
    </xf>
    <xf numFmtId="1" fontId="10" fillId="0" borderId="11" xfId="20" applyNumberFormat="1" applyFont="1" applyFill="1" applyBorder="1" applyAlignment="1">
      <alignment horizontal="center" vertical="center" wrapText="1"/>
      <protection/>
    </xf>
    <xf numFmtId="0" fontId="25" fillId="0" borderId="77" xfId="20" applyFont="1" applyFill="1" applyBorder="1" applyAlignment="1">
      <alignment horizontal="center" vertical="center" wrapText="1"/>
      <protection/>
    </xf>
    <xf numFmtId="0" fontId="25" fillId="0" borderId="73" xfId="20" applyFont="1" applyFill="1" applyBorder="1" applyAlignment="1">
      <alignment horizontal="center" vertical="center" wrapText="1"/>
      <protection/>
    </xf>
    <xf numFmtId="1" fontId="10" fillId="0" borderId="57" xfId="20" applyNumberFormat="1" applyFont="1" applyFill="1" applyBorder="1" applyAlignment="1">
      <alignment horizontal="center" vertical="center" wrapText="1"/>
      <protection/>
    </xf>
    <xf numFmtId="0" fontId="10" fillId="0" borderId="80" xfId="20" applyFont="1" applyFill="1" applyBorder="1" applyAlignment="1">
      <alignment vertical="center" wrapText="1"/>
      <protection/>
    </xf>
    <xf numFmtId="3" fontId="31" fillId="0" borderId="8" xfId="0" applyNumberFormat="1" applyFont="1" applyBorder="1" applyAlignment="1">
      <alignment vertical="center" wrapText="1"/>
    </xf>
    <xf numFmtId="3" fontId="31" fillId="0" borderId="29" xfId="0" applyNumberFormat="1" applyFont="1" applyBorder="1" applyAlignment="1">
      <alignment vertical="center" wrapText="1"/>
    </xf>
    <xf numFmtId="3" fontId="35" fillId="0" borderId="38" xfId="0" applyNumberFormat="1" applyFont="1" applyBorder="1" applyAlignment="1">
      <alignment vertical="center" wrapText="1"/>
    </xf>
    <xf numFmtId="0" fontId="35" fillId="0" borderId="4" xfId="0" applyFont="1" applyBorder="1" applyAlignment="1">
      <alignment horizontal="right" vertical="center" wrapText="1"/>
    </xf>
    <xf numFmtId="49" fontId="24" fillId="0" borderId="5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49" fontId="24" fillId="0" borderId="3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 wrapText="1"/>
    </xf>
    <xf numFmtId="49" fontId="24" fillId="0" borderId="6" xfId="0" applyNumberFormat="1" applyFont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49" fontId="26" fillId="0" borderId="54" xfId="0" applyNumberFormat="1" applyFont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3" fontId="26" fillId="0" borderId="32" xfId="0" applyNumberFormat="1" applyFont="1" applyBorder="1" applyAlignment="1">
      <alignment vertical="center" wrapText="1"/>
    </xf>
    <xf numFmtId="10" fontId="39" fillId="0" borderId="33" xfId="0" applyNumberFormat="1" applyFont="1" applyBorder="1" applyAlignment="1">
      <alignment vertical="center" wrapText="1"/>
    </xf>
    <xf numFmtId="3" fontId="26" fillId="0" borderId="17" xfId="0" applyNumberFormat="1" applyFont="1" applyBorder="1" applyAlignment="1">
      <alignment vertical="center" wrapText="1"/>
    </xf>
    <xf numFmtId="3" fontId="26" fillId="0" borderId="19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3" fontId="26" fillId="0" borderId="21" xfId="0" applyNumberFormat="1" applyFont="1" applyBorder="1" applyAlignment="1">
      <alignment vertical="center" wrapText="1"/>
    </xf>
    <xf numFmtId="49" fontId="24" fillId="0" borderId="8" xfId="0" applyNumberFormat="1" applyFont="1" applyBorder="1" applyAlignment="1">
      <alignment horizontal="center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49" fontId="24" fillId="0" borderId="4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3" fontId="25" fillId="0" borderId="37" xfId="0" applyNumberFormat="1" applyFont="1" applyBorder="1" applyAlignment="1">
      <alignment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3" fontId="24" fillId="0" borderId="34" xfId="0" applyNumberFormat="1" applyFont="1" applyBorder="1" applyAlignment="1">
      <alignment vertical="center" wrapText="1"/>
    </xf>
    <xf numFmtId="10" fontId="24" fillId="0" borderId="9" xfId="0" applyNumberFormat="1" applyFont="1" applyBorder="1" applyAlignment="1">
      <alignment vertical="center" wrapText="1"/>
    </xf>
    <xf numFmtId="3" fontId="24" fillId="0" borderId="1" xfId="0" applyNumberFormat="1" applyFont="1" applyBorder="1" applyAlignment="1">
      <alignment vertical="center" wrapText="1"/>
    </xf>
    <xf numFmtId="0" fontId="8" fillId="0" borderId="72" xfId="20" applyFont="1" applyFill="1" applyBorder="1" applyAlignment="1">
      <alignment horizontal="center" vertical="center" wrapText="1"/>
      <protection/>
    </xf>
    <xf numFmtId="0" fontId="25" fillId="0" borderId="69" xfId="20" applyFont="1" applyFill="1" applyBorder="1" applyAlignment="1">
      <alignment horizontal="center" vertical="center" wrapText="1"/>
      <protection/>
    </xf>
    <xf numFmtId="0" fontId="10" fillId="0" borderId="7" xfId="20" applyFont="1" applyFill="1" applyBorder="1" applyAlignment="1">
      <alignment vertical="center" wrapText="1"/>
      <protection/>
    </xf>
    <xf numFmtId="0" fontId="10" fillId="0" borderId="7" xfId="20" applyNumberFormat="1" applyFont="1" applyFill="1" applyBorder="1" applyAlignment="1">
      <alignment horizontal="center" vertical="center" wrapText="1"/>
      <protection/>
    </xf>
    <xf numFmtId="3" fontId="25" fillId="0" borderId="7" xfId="20" applyNumberFormat="1" applyFont="1" applyFill="1" applyBorder="1" applyAlignment="1">
      <alignment horizontal="right" vertical="center" wrapText="1"/>
      <protection/>
    </xf>
    <xf numFmtId="3" fontId="25" fillId="0" borderId="7" xfId="20" applyNumberFormat="1" applyFont="1" applyFill="1" applyBorder="1" applyAlignment="1">
      <alignment vertical="center" wrapText="1"/>
      <protection/>
    </xf>
    <xf numFmtId="0" fontId="10" fillId="0" borderId="41" xfId="20" applyFont="1" applyFill="1" applyBorder="1" applyAlignment="1">
      <alignment horizontal="center" vertical="center" wrapText="1"/>
      <protection/>
    </xf>
    <xf numFmtId="3" fontId="35" fillId="0" borderId="81" xfId="20" applyNumberFormat="1" applyFont="1" applyFill="1" applyBorder="1" applyAlignment="1">
      <alignment vertical="center" wrapText="1"/>
      <protection/>
    </xf>
    <xf numFmtId="3" fontId="35" fillId="0" borderId="82" xfId="20" applyNumberFormat="1" applyFont="1" applyFill="1" applyBorder="1" applyAlignment="1">
      <alignment vertical="center" wrapText="1"/>
      <protection/>
    </xf>
    <xf numFmtId="3" fontId="10" fillId="0" borderId="76" xfId="20" applyNumberFormat="1" applyFont="1" applyFill="1" applyBorder="1" applyAlignment="1">
      <alignment vertical="center" wrapText="1"/>
      <protection/>
    </xf>
    <xf numFmtId="0" fontId="10" fillId="0" borderId="16" xfId="20" applyFont="1" applyFill="1" applyBorder="1" applyAlignment="1">
      <alignment vertical="center" wrapText="1"/>
      <protection/>
    </xf>
    <xf numFmtId="3" fontId="10" fillId="0" borderId="83" xfId="20" applyNumberFormat="1" applyFont="1" applyFill="1" applyBorder="1" applyAlignment="1">
      <alignment vertical="center" wrapText="1"/>
      <protection/>
    </xf>
    <xf numFmtId="3" fontId="35" fillId="0" borderId="84" xfId="20" applyNumberFormat="1" applyFont="1" applyFill="1" applyBorder="1" applyAlignment="1">
      <alignment vertical="center" wrapText="1"/>
      <protection/>
    </xf>
    <xf numFmtId="3" fontId="35" fillId="0" borderId="85" xfId="20" applyNumberFormat="1" applyFont="1" applyFill="1" applyBorder="1" applyAlignment="1">
      <alignment vertical="center" wrapText="1"/>
      <protection/>
    </xf>
    <xf numFmtId="3" fontId="35" fillId="0" borderId="86" xfId="20" applyNumberFormat="1" applyFont="1" applyFill="1" applyBorder="1" applyAlignment="1">
      <alignment vertical="center" wrapText="1"/>
      <protection/>
    </xf>
    <xf numFmtId="3" fontId="35" fillId="0" borderId="87" xfId="20" applyNumberFormat="1" applyFont="1" applyFill="1" applyBorder="1" applyAlignment="1">
      <alignment vertical="center" wrapText="1"/>
      <protection/>
    </xf>
    <xf numFmtId="3" fontId="35" fillId="0" borderId="27" xfId="20" applyNumberFormat="1" applyFont="1" applyFill="1" applyBorder="1" applyAlignment="1">
      <alignment vertical="center" wrapText="1"/>
      <protection/>
    </xf>
    <xf numFmtId="3" fontId="10" fillId="0" borderId="7" xfId="20" applyNumberFormat="1" applyFont="1" applyFill="1" applyBorder="1" applyAlignment="1">
      <alignment vertical="center" wrapText="1"/>
      <protection/>
    </xf>
    <xf numFmtId="3" fontId="10" fillId="0" borderId="8" xfId="20" applyNumberFormat="1" applyFont="1" applyFill="1" applyBorder="1" applyAlignment="1">
      <alignment vertical="center" wrapText="1"/>
      <protection/>
    </xf>
    <xf numFmtId="1" fontId="10" fillId="0" borderId="41" xfId="20" applyNumberFormat="1" applyFont="1" applyFill="1" applyBorder="1" applyAlignment="1">
      <alignment horizontal="center" vertical="center" wrapText="1"/>
      <protection/>
    </xf>
    <xf numFmtId="3" fontId="35" fillId="0" borderId="41" xfId="20" applyNumberFormat="1" applyFont="1" applyFill="1" applyBorder="1" applyAlignment="1">
      <alignment vertical="center" wrapText="1"/>
      <protection/>
    </xf>
    <xf numFmtId="0" fontId="25" fillId="0" borderId="59" xfId="20" applyFont="1" applyFill="1" applyBorder="1" applyAlignment="1">
      <alignment vertical="center" wrapText="1"/>
      <protection/>
    </xf>
    <xf numFmtId="1" fontId="10" fillId="0" borderId="16" xfId="20" applyNumberFormat="1" applyFont="1" applyFill="1" applyBorder="1" applyAlignment="1">
      <alignment horizontal="center" vertical="center" wrapText="1"/>
      <protection/>
    </xf>
    <xf numFmtId="1" fontId="10" fillId="0" borderId="8" xfId="20" applyNumberFormat="1" applyFont="1" applyFill="1" applyBorder="1" applyAlignment="1">
      <alignment horizontal="center" vertical="center" wrapText="1"/>
      <protection/>
    </xf>
    <xf numFmtId="1" fontId="10" fillId="0" borderId="14" xfId="20" applyNumberFormat="1" applyFont="1" applyFill="1" applyBorder="1" applyAlignment="1">
      <alignment vertical="center" wrapText="1"/>
      <protection/>
    </xf>
    <xf numFmtId="0" fontId="27" fillId="0" borderId="88" xfId="20" applyFont="1" applyFill="1" applyBorder="1" applyAlignment="1">
      <alignment horizontal="center" vertical="center" wrapText="1"/>
      <protection/>
    </xf>
    <xf numFmtId="0" fontId="27" fillId="0" borderId="80" xfId="20" applyFont="1" applyFill="1" applyBorder="1" applyAlignment="1">
      <alignment horizontal="center" vertical="center" wrapText="1"/>
      <protection/>
    </xf>
    <xf numFmtId="3" fontId="8" fillId="0" borderId="80" xfId="20" applyNumberFormat="1" applyFont="1" applyFill="1" applyBorder="1" applyAlignment="1">
      <alignment horizontal="center" vertical="center" wrapText="1"/>
      <protection/>
    </xf>
    <xf numFmtId="0" fontId="8" fillId="0" borderId="80" xfId="20" applyFont="1" applyFill="1" applyBorder="1" applyAlignment="1">
      <alignment horizontal="center" vertical="center" wrapText="1"/>
      <protection/>
    </xf>
    <xf numFmtId="0" fontId="10" fillId="0" borderId="7" xfId="20" applyFont="1" applyFill="1" applyBorder="1" applyAlignment="1">
      <alignment horizontal="left" vertical="center" wrapText="1"/>
      <protection/>
    </xf>
    <xf numFmtId="0" fontId="25" fillId="0" borderId="69" xfId="20" applyFont="1" applyFill="1" applyBorder="1" applyAlignment="1">
      <alignment vertical="center" wrapText="1"/>
      <protection/>
    </xf>
    <xf numFmtId="1" fontId="10" fillId="0" borderId="7" xfId="20" applyNumberFormat="1" applyFont="1" applyFill="1" applyBorder="1" applyAlignment="1">
      <alignment horizontal="center" vertical="center" wrapText="1"/>
      <protection/>
    </xf>
    <xf numFmtId="3" fontId="27" fillId="0" borderId="7" xfId="20" applyNumberFormat="1" applyFont="1" applyFill="1" applyBorder="1" applyAlignment="1">
      <alignment vertical="center" wrapText="1"/>
      <protection/>
    </xf>
    <xf numFmtId="0" fontId="8" fillId="0" borderId="56" xfId="20" applyFont="1" applyFill="1" applyBorder="1" applyAlignment="1">
      <alignment horizontal="center" vertical="center" wrapText="1"/>
      <protection/>
    </xf>
    <xf numFmtId="0" fontId="10" fillId="0" borderId="41" xfId="20" applyFont="1" applyFill="1" applyBorder="1" applyAlignment="1">
      <alignment vertical="center" wrapText="1"/>
      <protection/>
    </xf>
    <xf numFmtId="0" fontId="25" fillId="0" borderId="19" xfId="20" applyFont="1" applyFill="1" applyBorder="1" applyAlignment="1">
      <alignment vertical="center" wrapText="1"/>
      <protection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3" fontId="10" fillId="0" borderId="7" xfId="20" applyNumberFormat="1" applyFont="1" applyFill="1" applyBorder="1" applyAlignment="1">
      <alignment horizontal="center" vertical="center" wrapText="1"/>
      <protection/>
    </xf>
    <xf numFmtId="3" fontId="10" fillId="0" borderId="16" xfId="20" applyNumberFormat="1" applyFont="1" applyFill="1" applyBorder="1" applyAlignment="1">
      <alignment horizontal="center" vertical="center" wrapText="1"/>
      <protection/>
    </xf>
    <xf numFmtId="3" fontId="10" fillId="0" borderId="8" xfId="20" applyNumberFormat="1" applyFont="1" applyFill="1" applyBorder="1" applyAlignment="1">
      <alignment horizontal="center" vertical="center" wrapText="1"/>
      <protection/>
    </xf>
    <xf numFmtId="0" fontId="4" fillId="2" borderId="1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5" fillId="5" borderId="54" xfId="0" applyFont="1" applyFill="1" applyBorder="1" applyAlignment="1">
      <alignment horizontal="center"/>
    </xf>
    <xf numFmtId="0" fontId="45" fillId="5" borderId="17" xfId="0" applyFont="1" applyFill="1" applyBorder="1" applyAlignment="1">
      <alignment horizontal="center" vertical="center"/>
    </xf>
    <xf numFmtId="3" fontId="7" fillId="5" borderId="17" xfId="0" applyNumberFormat="1" applyFont="1" applyFill="1" applyBorder="1" applyAlignment="1">
      <alignment vertical="center"/>
    </xf>
    <xf numFmtId="3" fontId="7" fillId="6" borderId="32" xfId="0" applyNumberFormat="1" applyFont="1" applyFill="1" applyBorder="1" applyAlignment="1">
      <alignment vertical="center"/>
    </xf>
    <xf numFmtId="3" fontId="7" fillId="5" borderId="19" xfId="0" applyNumberFormat="1" applyFont="1" applyFill="1" applyBorder="1" applyAlignment="1">
      <alignment vertical="center"/>
    </xf>
    <xf numFmtId="0" fontId="46" fillId="5" borderId="54" xfId="0" applyFont="1" applyFill="1" applyBorder="1" applyAlignment="1">
      <alignment horizontal="center" vertical="center"/>
    </xf>
    <xf numFmtId="49" fontId="45" fillId="5" borderId="17" xfId="0" applyNumberFormat="1" applyFont="1" applyFill="1" applyBorder="1" applyAlignment="1">
      <alignment horizontal="center" vertical="center"/>
    </xf>
    <xf numFmtId="3" fontId="7" fillId="5" borderId="21" xfId="0" applyNumberFormat="1" applyFont="1" applyFill="1" applyBorder="1" applyAlignment="1">
      <alignment vertical="center"/>
    </xf>
    <xf numFmtId="3" fontId="0" fillId="0" borderId="46" xfId="0" applyNumberFormat="1" applyBorder="1" applyAlignment="1">
      <alignment vertical="center"/>
    </xf>
    <xf numFmtId="3" fontId="7" fillId="6" borderId="89" xfId="0" applyNumberFormat="1" applyFont="1" applyFill="1" applyBorder="1" applyAlignment="1">
      <alignment vertical="center"/>
    </xf>
    <xf numFmtId="10" fontId="27" fillId="0" borderId="47" xfId="0" applyNumberFormat="1" applyFont="1" applyBorder="1" applyAlignment="1">
      <alignment vertical="center" wrapText="1"/>
    </xf>
    <xf numFmtId="0" fontId="45" fillId="5" borderId="54" xfId="0" applyFont="1" applyFill="1" applyBorder="1" applyAlignment="1">
      <alignment horizontal="center" vertical="center"/>
    </xf>
    <xf numFmtId="0" fontId="45" fillId="5" borderId="17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46" fillId="5" borderId="17" xfId="0" applyFont="1" applyFill="1" applyBorder="1" applyAlignment="1">
      <alignment horizontal="center" vertical="center"/>
    </xf>
    <xf numFmtId="0" fontId="45" fillId="5" borderId="17" xfId="0" applyFont="1" applyFill="1" applyBorder="1" applyAlignment="1">
      <alignment horizontal="center" vertical="center" wrapText="1"/>
    </xf>
    <xf numFmtId="49" fontId="45" fillId="5" borderId="54" xfId="0" applyNumberFormat="1" applyFont="1" applyFill="1" applyBorder="1" applyAlignment="1">
      <alignment horizontal="center"/>
    </xf>
    <xf numFmtId="3" fontId="20" fillId="6" borderId="89" xfId="0" applyNumberFormat="1" applyFont="1" applyFill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3" fontId="19" fillId="0" borderId="7" xfId="0" applyNumberFormat="1" applyFont="1" applyBorder="1" applyAlignment="1">
      <alignment vertical="center"/>
    </xf>
    <xf numFmtId="0" fontId="7" fillId="5" borderId="54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 wrapText="1"/>
    </xf>
    <xf numFmtId="0" fontId="20" fillId="5" borderId="54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/>
    </xf>
    <xf numFmtId="3" fontId="20" fillId="5" borderId="17" xfId="0" applyNumberFormat="1" applyFont="1" applyFill="1" applyBorder="1" applyAlignment="1">
      <alignment vertical="center"/>
    </xf>
    <xf numFmtId="3" fontId="20" fillId="5" borderId="21" xfId="0" applyNumberFormat="1" applyFont="1" applyFill="1" applyBorder="1" applyAlignment="1">
      <alignment vertical="center"/>
    </xf>
    <xf numFmtId="3" fontId="20" fillId="6" borderId="32" xfId="0" applyNumberFormat="1" applyFont="1" applyFill="1" applyBorder="1" applyAlignment="1">
      <alignment vertical="center"/>
    </xf>
    <xf numFmtId="3" fontId="20" fillId="5" borderId="19" xfId="0" applyNumberFormat="1" applyFont="1" applyFill="1" applyBorder="1" applyAlignment="1">
      <alignment vertical="center"/>
    </xf>
    <xf numFmtId="49" fontId="20" fillId="0" borderId="90" xfId="0" applyNumberFormat="1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3" fontId="19" fillId="0" borderId="90" xfId="0" applyNumberFormat="1" applyFont="1" applyBorder="1" applyAlignment="1">
      <alignment vertical="center"/>
    </xf>
    <xf numFmtId="3" fontId="19" fillId="0" borderId="91" xfId="0" applyNumberFormat="1" applyFont="1" applyBorder="1" applyAlignment="1">
      <alignment vertical="center"/>
    </xf>
    <xf numFmtId="3" fontId="20" fillId="6" borderId="92" xfId="0" applyNumberFormat="1" applyFont="1" applyFill="1" applyBorder="1" applyAlignment="1">
      <alignment vertical="center"/>
    </xf>
    <xf numFmtId="10" fontId="27" fillId="0" borderId="93" xfId="0" applyNumberFormat="1" applyFont="1" applyBorder="1" applyAlignment="1">
      <alignment vertical="center" wrapText="1"/>
    </xf>
    <xf numFmtId="49" fontId="20" fillId="0" borderId="84" xfId="0" applyNumberFormat="1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 wrapText="1"/>
    </xf>
    <xf numFmtId="3" fontId="19" fillId="0" borderId="84" xfId="0" applyNumberFormat="1" applyFont="1" applyBorder="1" applyAlignment="1">
      <alignment vertical="center"/>
    </xf>
    <xf numFmtId="3" fontId="19" fillId="0" borderId="86" xfId="0" applyNumberFormat="1" applyFont="1" applyBorder="1" applyAlignment="1">
      <alignment vertical="center"/>
    </xf>
    <xf numFmtId="3" fontId="20" fillId="6" borderId="94" xfId="0" applyNumberFormat="1" applyFont="1" applyFill="1" applyBorder="1" applyAlignment="1">
      <alignment vertical="center"/>
    </xf>
    <xf numFmtId="10" fontId="27" fillId="0" borderId="95" xfId="0" applyNumberFormat="1" applyFont="1" applyBorder="1" applyAlignment="1">
      <alignment vertical="center" wrapText="1"/>
    </xf>
    <xf numFmtId="0" fontId="0" fillId="0" borderId="96" xfId="0" applyBorder="1" applyAlignment="1">
      <alignment horizontal="center" vertical="center"/>
    </xf>
    <xf numFmtId="0" fontId="0" fillId="0" borderId="96" xfId="0" applyBorder="1" applyAlignment="1">
      <alignment vertical="top" wrapText="1"/>
    </xf>
    <xf numFmtId="3" fontId="0" fillId="0" borderId="96" xfId="0" applyNumberFormat="1" applyBorder="1" applyAlignment="1">
      <alignment vertical="center"/>
    </xf>
    <xf numFmtId="3" fontId="0" fillId="0" borderId="97" xfId="0" applyNumberFormat="1" applyBorder="1" applyAlignment="1">
      <alignment vertical="center"/>
    </xf>
    <xf numFmtId="3" fontId="7" fillId="6" borderId="98" xfId="0" applyNumberFormat="1" applyFont="1" applyFill="1" applyBorder="1" applyAlignment="1">
      <alignment vertical="center"/>
    </xf>
    <xf numFmtId="10" fontId="27" fillId="0" borderId="99" xfId="0" applyNumberFormat="1" applyFont="1" applyBorder="1" applyAlignment="1">
      <alignment vertical="center" wrapText="1"/>
    </xf>
    <xf numFmtId="0" fontId="0" fillId="0" borderId="81" xfId="0" applyBorder="1" applyAlignment="1">
      <alignment horizontal="center" vertical="center"/>
    </xf>
    <xf numFmtId="49" fontId="0" fillId="0" borderId="81" xfId="0" applyNumberFormat="1" applyBorder="1" applyAlignment="1">
      <alignment horizontal="center" vertical="center"/>
    </xf>
    <xf numFmtId="0" fontId="0" fillId="0" borderId="81" xfId="0" applyBorder="1" applyAlignment="1">
      <alignment vertical="center" wrapText="1"/>
    </xf>
    <xf numFmtId="3" fontId="0" fillId="0" borderId="81" xfId="0" applyNumberFormat="1" applyBorder="1" applyAlignment="1">
      <alignment vertical="center"/>
    </xf>
    <xf numFmtId="3" fontId="0" fillId="0" borderId="87" xfId="0" applyNumberFormat="1" applyBorder="1" applyAlignment="1">
      <alignment vertical="center"/>
    </xf>
    <xf numFmtId="3" fontId="7" fillId="6" borderId="100" xfId="0" applyNumberFormat="1" applyFont="1" applyFill="1" applyBorder="1" applyAlignment="1">
      <alignment vertical="center"/>
    </xf>
    <xf numFmtId="10" fontId="27" fillId="0" borderId="101" xfId="0" applyNumberFormat="1" applyFont="1" applyBorder="1" applyAlignment="1">
      <alignment vertical="center" wrapText="1"/>
    </xf>
    <xf numFmtId="49" fontId="20" fillId="0" borderId="102" xfId="0" applyNumberFormat="1" applyFont="1" applyBorder="1" applyAlignment="1">
      <alignment horizontal="center" vertical="center"/>
    </xf>
    <xf numFmtId="0" fontId="20" fillId="0" borderId="102" xfId="0" applyFont="1" applyBorder="1" applyAlignment="1">
      <alignment horizontal="center" vertical="center"/>
    </xf>
    <xf numFmtId="3" fontId="19" fillId="0" borderId="102" xfId="0" applyNumberFormat="1" applyFont="1" applyBorder="1" applyAlignment="1">
      <alignment vertical="center"/>
    </xf>
    <xf numFmtId="3" fontId="19" fillId="0" borderId="103" xfId="0" applyNumberFormat="1" applyFont="1" applyBorder="1" applyAlignment="1">
      <alignment vertical="center"/>
    </xf>
    <xf numFmtId="3" fontId="20" fillId="6" borderId="104" xfId="0" applyNumberFormat="1" applyFont="1" applyFill="1" applyBorder="1" applyAlignment="1">
      <alignment vertical="center"/>
    </xf>
    <xf numFmtId="10" fontId="27" fillId="0" borderId="105" xfId="0" applyNumberFormat="1" applyFont="1" applyBorder="1" applyAlignment="1">
      <alignment vertical="center" wrapText="1"/>
    </xf>
    <xf numFmtId="0" fontId="20" fillId="0" borderId="102" xfId="0" applyFont="1" applyBorder="1" applyAlignment="1">
      <alignment horizontal="center" vertical="center" wrapText="1"/>
    </xf>
    <xf numFmtId="49" fontId="0" fillId="0" borderId="96" xfId="0" applyNumberFormat="1" applyBorder="1" applyAlignment="1">
      <alignment horizontal="center" vertical="center"/>
    </xf>
    <xf numFmtId="0" fontId="0" fillId="0" borderId="81" xfId="0" applyBorder="1" applyAlignment="1">
      <alignment vertical="top" wrapText="1"/>
    </xf>
    <xf numFmtId="0" fontId="20" fillId="0" borderId="90" xfId="0" applyFont="1" applyBorder="1" applyAlignment="1">
      <alignment horizontal="center" vertical="top" wrapText="1"/>
    </xf>
    <xf numFmtId="3" fontId="0" fillId="0" borderId="90" xfId="0" applyNumberFormat="1" applyBorder="1" applyAlignment="1">
      <alignment vertical="center"/>
    </xf>
    <xf numFmtId="3" fontId="0" fillId="0" borderId="84" xfId="0" applyNumberFormat="1" applyBorder="1" applyAlignment="1">
      <alignment vertical="center"/>
    </xf>
    <xf numFmtId="49" fontId="7" fillId="0" borderId="102" xfId="0" applyNumberFormat="1" applyFont="1" applyBorder="1" applyAlignment="1">
      <alignment horizontal="center" vertical="center"/>
    </xf>
    <xf numFmtId="0" fontId="20" fillId="0" borderId="102" xfId="0" applyFont="1" applyBorder="1" applyAlignment="1">
      <alignment horizontal="center" vertical="top" wrapText="1"/>
    </xf>
    <xf numFmtId="3" fontId="0" fillId="0" borderId="102" xfId="0" applyNumberFormat="1" applyBorder="1" applyAlignment="1">
      <alignment vertical="center"/>
    </xf>
    <xf numFmtId="3" fontId="0" fillId="0" borderId="103" xfId="0" applyNumberFormat="1" applyBorder="1" applyAlignment="1">
      <alignment vertical="center"/>
    </xf>
    <xf numFmtId="3" fontId="7" fillId="6" borderId="104" xfId="0" applyNumberFormat="1" applyFont="1" applyFill="1" applyBorder="1" applyAlignment="1">
      <alignment vertical="center"/>
    </xf>
    <xf numFmtId="3" fontId="0" fillId="0" borderId="91" xfId="0" applyNumberFormat="1" applyBorder="1" applyAlignment="1">
      <alignment vertical="center"/>
    </xf>
    <xf numFmtId="3" fontId="7" fillId="6" borderId="92" xfId="0" applyNumberFormat="1" applyFont="1" applyFill="1" applyBorder="1" applyAlignment="1">
      <alignment vertical="center"/>
    </xf>
    <xf numFmtId="0" fontId="19" fillId="0" borderId="102" xfId="0" applyFont="1" applyBorder="1" applyAlignment="1">
      <alignment horizontal="center" vertical="center"/>
    </xf>
    <xf numFmtId="49" fontId="19" fillId="0" borderId="102" xfId="0" applyNumberFormat="1" applyFont="1" applyBorder="1" applyAlignment="1">
      <alignment horizontal="center" vertical="center"/>
    </xf>
    <xf numFmtId="0" fontId="19" fillId="0" borderId="102" xfId="0" applyFont="1" applyBorder="1" applyAlignment="1">
      <alignment horizontal="center" vertical="top" wrapText="1"/>
    </xf>
    <xf numFmtId="0" fontId="19" fillId="0" borderId="84" xfId="0" applyFont="1" applyBorder="1" applyAlignment="1">
      <alignment horizontal="center" vertical="center"/>
    </xf>
    <xf numFmtId="49" fontId="19" fillId="0" borderId="84" xfId="0" applyNumberFormat="1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top" wrapText="1"/>
    </xf>
    <xf numFmtId="0" fontId="0" fillId="0" borderId="96" xfId="0" applyBorder="1" applyAlignment="1">
      <alignment vertical="center" wrapText="1"/>
    </xf>
    <xf numFmtId="49" fontId="7" fillId="0" borderId="84" xfId="0" applyNumberFormat="1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top" wrapText="1"/>
    </xf>
    <xf numFmtId="3" fontId="0" fillId="0" borderId="86" xfId="0" applyNumberFormat="1" applyBorder="1" applyAlignment="1">
      <alignment vertical="center"/>
    </xf>
    <xf numFmtId="3" fontId="7" fillId="6" borderId="94" xfId="0" applyNumberFormat="1" applyFont="1" applyFill="1" applyBorder="1" applyAlignment="1">
      <alignment vertical="center"/>
    </xf>
    <xf numFmtId="0" fontId="22" fillId="0" borderId="81" xfId="0" applyFont="1" applyBorder="1" applyAlignment="1">
      <alignment horizontal="center" vertical="center"/>
    </xf>
    <xf numFmtId="49" fontId="22" fillId="0" borderId="81" xfId="0" applyNumberFormat="1" applyFont="1" applyBorder="1" applyAlignment="1">
      <alignment horizontal="center" vertical="center"/>
    </xf>
    <xf numFmtId="0" fontId="22" fillId="0" borderId="81" xfId="0" applyFont="1" applyBorder="1" applyAlignment="1">
      <alignment horizontal="left" vertical="center" wrapText="1"/>
    </xf>
    <xf numFmtId="0" fontId="19" fillId="0" borderId="84" xfId="0" applyFont="1" applyBorder="1" applyAlignment="1">
      <alignment horizontal="center" vertical="center" wrapText="1"/>
    </xf>
    <xf numFmtId="0" fontId="0" fillId="0" borderId="81" xfId="0" applyBorder="1" applyAlignment="1">
      <alignment vertical="center"/>
    </xf>
    <xf numFmtId="0" fontId="22" fillId="0" borderId="90" xfId="0" applyFont="1" applyBorder="1" applyAlignment="1">
      <alignment horizontal="center" vertical="center"/>
    </xf>
    <xf numFmtId="49" fontId="0" fillId="0" borderId="90" xfId="0" applyNumberFormat="1" applyBorder="1" applyAlignment="1">
      <alignment horizontal="center" vertical="center"/>
    </xf>
    <xf numFmtId="0" fontId="19" fillId="0" borderId="90" xfId="0" applyFont="1" applyBorder="1" applyAlignment="1">
      <alignment horizontal="left" vertical="center" wrapText="1"/>
    </xf>
    <xf numFmtId="0" fontId="22" fillId="0" borderId="102" xfId="0" applyFont="1" applyBorder="1" applyAlignment="1">
      <alignment horizontal="center" vertical="center"/>
    </xf>
    <xf numFmtId="49" fontId="0" fillId="0" borderId="102" xfId="0" applyNumberFormat="1" applyBorder="1" applyAlignment="1">
      <alignment horizontal="center" vertical="center"/>
    </xf>
    <xf numFmtId="0" fontId="19" fillId="0" borderId="10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7" fontId="24" fillId="0" borderId="1" xfId="18" applyNumberFormat="1" applyFont="1" applyBorder="1" applyAlignment="1">
      <alignment horizontal="center" vertical="center"/>
      <protection/>
    </xf>
    <xf numFmtId="173" fontId="26" fillId="0" borderId="16" xfId="18" applyNumberFormat="1" applyFont="1" applyBorder="1" applyAlignment="1">
      <alignment horizontal="center" vertical="center"/>
      <protection/>
    </xf>
    <xf numFmtId="173" fontId="24" fillId="0" borderId="1" xfId="18" applyNumberFormat="1" applyFont="1" applyBorder="1" applyAlignment="1">
      <alignment horizontal="center" vertical="center"/>
      <protection/>
    </xf>
    <xf numFmtId="187" fontId="26" fillId="0" borderId="16" xfId="18" applyNumberFormat="1" applyFont="1" applyBorder="1" applyAlignment="1">
      <alignment horizontal="center" vertical="center"/>
      <protection/>
    </xf>
    <xf numFmtId="187" fontId="26" fillId="0" borderId="1" xfId="18" applyNumberFormat="1" applyFont="1" applyBorder="1" applyAlignment="1">
      <alignment horizontal="center" vertical="center"/>
      <protection/>
    </xf>
    <xf numFmtId="187" fontId="26" fillId="0" borderId="52" xfId="18" applyNumberFormat="1" applyFont="1" applyBorder="1" applyAlignment="1">
      <alignment horizontal="center" vertical="center"/>
      <protection/>
    </xf>
    <xf numFmtId="187" fontId="26" fillId="0" borderId="60" xfId="18" applyNumberFormat="1" applyFont="1" applyBorder="1" applyAlignment="1">
      <alignment horizontal="center" vertical="center"/>
      <protection/>
    </xf>
    <xf numFmtId="187" fontId="26" fillId="0" borderId="17" xfId="18" applyNumberFormat="1" applyFont="1" applyBorder="1" applyAlignment="1">
      <alignment horizontal="center" vertical="center"/>
      <protection/>
    </xf>
    <xf numFmtId="3" fontId="13" fillId="0" borderId="0" xfId="0" applyNumberFormat="1" applyFont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center" vertical="center"/>
    </xf>
    <xf numFmtId="4" fontId="0" fillId="0" borderId="3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0" fontId="4" fillId="0" borderId="90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90" xfId="0" applyFont="1" applyBorder="1" applyAlignment="1">
      <alignment horizontal="center" vertical="center"/>
    </xf>
    <xf numFmtId="0" fontId="4" fillId="0" borderId="90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4" fontId="12" fillId="0" borderId="90" xfId="0" applyNumberFormat="1" applyFont="1" applyFill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4" fontId="12" fillId="0" borderId="90" xfId="0" applyNumberFormat="1" applyFont="1" applyBorder="1" applyAlignment="1">
      <alignment horizontal="center" vertical="center"/>
    </xf>
    <xf numFmtId="3" fontId="27" fillId="0" borderId="8" xfId="20" applyNumberFormat="1" applyFont="1" applyFill="1" applyBorder="1" applyAlignment="1">
      <alignment horizontal="left" vertical="center" wrapText="1"/>
      <protection/>
    </xf>
    <xf numFmtId="49" fontId="24" fillId="0" borderId="79" xfId="0" applyNumberFormat="1" applyFont="1" applyBorder="1" applyAlignment="1">
      <alignment horizontal="center" vertical="center" wrapText="1"/>
    </xf>
    <xf numFmtId="0" fontId="24" fillId="0" borderId="79" xfId="0" applyFont="1" applyBorder="1" applyAlignment="1">
      <alignment horizontal="left" vertical="center" wrapText="1"/>
    </xf>
    <xf numFmtId="3" fontId="25" fillId="0" borderId="106" xfId="0" applyNumberFormat="1" applyFont="1" applyBorder="1" applyAlignment="1">
      <alignment vertical="center" wrapText="1"/>
    </xf>
    <xf numFmtId="3" fontId="25" fillId="0" borderId="107" xfId="0" applyNumberFormat="1" applyFont="1" applyBorder="1" applyAlignment="1">
      <alignment vertical="center" wrapText="1"/>
    </xf>
    <xf numFmtId="10" fontId="27" fillId="0" borderId="108" xfId="0" applyNumberFormat="1" applyFont="1" applyBorder="1" applyAlignment="1">
      <alignment vertical="center" wrapText="1"/>
    </xf>
    <xf numFmtId="0" fontId="12" fillId="0" borderId="109" xfId="0" applyFont="1" applyBorder="1" applyAlignment="1">
      <alignment horizontal="center" vertical="center"/>
    </xf>
    <xf numFmtId="49" fontId="0" fillId="0" borderId="109" xfId="0" applyNumberFormat="1" applyBorder="1" applyAlignment="1">
      <alignment horizontal="center" vertical="center"/>
    </xf>
    <xf numFmtId="0" fontId="0" fillId="0" borderId="109" xfId="0" applyBorder="1" applyAlignment="1">
      <alignment vertical="center" wrapText="1"/>
    </xf>
    <xf numFmtId="3" fontId="0" fillId="0" borderId="109" xfId="0" applyNumberFormat="1" applyBorder="1" applyAlignment="1">
      <alignment vertical="center"/>
    </xf>
    <xf numFmtId="3" fontId="0" fillId="0" borderId="110" xfId="0" applyNumberFormat="1" applyBorder="1" applyAlignment="1">
      <alignment vertical="center"/>
    </xf>
    <xf numFmtId="3" fontId="7" fillId="6" borderId="111" xfId="0" applyNumberFormat="1" applyFont="1" applyFill="1" applyBorder="1" applyAlignment="1">
      <alignment vertical="center"/>
    </xf>
    <xf numFmtId="10" fontId="27" fillId="0" borderId="112" xfId="0" applyNumberFormat="1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vertical="center"/>
    </xf>
    <xf numFmtId="3" fontId="20" fillId="6" borderId="44" xfId="0" applyNumberFormat="1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49" fontId="22" fillId="0" borderId="16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3" fontId="1" fillId="0" borderId="7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0" fontId="3" fillId="5" borderId="78" xfId="0" applyFont="1" applyFill="1" applyBorder="1" applyAlignment="1">
      <alignment horizontal="right" vertical="center"/>
    </xf>
    <xf numFmtId="0" fontId="3" fillId="5" borderId="22" xfId="0" applyFont="1" applyFill="1" applyBorder="1" applyAlignment="1">
      <alignment horizontal="right" vertical="center"/>
    </xf>
    <xf numFmtId="0" fontId="3" fillId="5" borderId="33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2" borderId="88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113" xfId="0" applyFont="1" applyFill="1" applyBorder="1" applyAlignment="1">
      <alignment horizontal="center" vertical="center" wrapText="1"/>
    </xf>
    <xf numFmtId="0" fontId="5" fillId="2" borderId="114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textRotation="90" wrapText="1"/>
    </xf>
    <xf numFmtId="0" fontId="2" fillId="2" borderId="14" xfId="0" applyFont="1" applyFill="1" applyBorder="1" applyAlignment="1">
      <alignment horizontal="center" textRotation="90" wrapText="1"/>
    </xf>
    <xf numFmtId="0" fontId="21" fillId="2" borderId="21" xfId="0" applyFont="1" applyFill="1" applyBorder="1" applyAlignment="1">
      <alignment horizontal="left" wrapText="1"/>
    </xf>
    <xf numFmtId="0" fontId="21" fillId="2" borderId="33" xfId="0" applyFont="1" applyFill="1" applyBorder="1" applyAlignment="1">
      <alignment horizontal="left" wrapText="1"/>
    </xf>
    <xf numFmtId="0" fontId="4" fillId="2" borderId="11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4" fillId="2" borderId="44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47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10" fillId="0" borderId="47" xfId="20" applyFont="1" applyFill="1" applyBorder="1" applyAlignment="1">
      <alignment horizontal="center" vertical="center" wrapText="1"/>
      <protection/>
    </xf>
    <xf numFmtId="0" fontId="10" fillId="0" borderId="16" xfId="20" applyFont="1" applyFill="1" applyBorder="1" applyAlignment="1">
      <alignment horizontal="center" vertical="center" wrapText="1"/>
      <protection/>
    </xf>
    <xf numFmtId="0" fontId="10" fillId="0" borderId="11" xfId="20" applyFont="1" applyFill="1" applyBorder="1" applyAlignment="1">
      <alignment horizontal="center" vertical="center" wrapText="1"/>
      <protection/>
    </xf>
    <xf numFmtId="0" fontId="10" fillId="0" borderId="8" xfId="20" applyFont="1" applyFill="1" applyBorder="1" applyAlignment="1">
      <alignment horizontal="center" vertical="center" wrapText="1"/>
      <protection/>
    </xf>
    <xf numFmtId="0" fontId="34" fillId="4" borderId="80" xfId="20" applyFont="1" applyFill="1" applyBorder="1" applyAlignment="1">
      <alignment horizontal="center" vertical="center" wrapText="1"/>
      <protection/>
    </xf>
    <xf numFmtId="0" fontId="34" fillId="4" borderId="8" xfId="20" applyFont="1" applyFill="1" applyBorder="1" applyAlignment="1">
      <alignment horizontal="center" vertical="center" wrapText="1"/>
      <protection/>
    </xf>
    <xf numFmtId="0" fontId="34" fillId="4" borderId="68" xfId="20" applyFont="1" applyFill="1" applyBorder="1" applyAlignment="1">
      <alignment horizontal="center" vertical="center" wrapText="1"/>
      <protection/>
    </xf>
    <xf numFmtId="0" fontId="34" fillId="4" borderId="18" xfId="20" applyFont="1" applyFill="1" applyBorder="1" applyAlignment="1">
      <alignment horizontal="center" vertical="center" wrapText="1"/>
      <protection/>
    </xf>
    <xf numFmtId="0" fontId="34" fillId="4" borderId="58" xfId="20" applyFont="1" applyFill="1" applyBorder="1" applyAlignment="1">
      <alignment horizontal="center" vertical="center" wrapText="1"/>
      <protection/>
    </xf>
    <xf numFmtId="0" fontId="4" fillId="4" borderId="51" xfId="20" applyFont="1" applyFill="1" applyBorder="1" applyAlignment="1">
      <alignment horizontal="center" vertical="center" wrapText="1"/>
      <protection/>
    </xf>
    <xf numFmtId="0" fontId="4" fillId="4" borderId="52" xfId="20" applyFont="1" applyFill="1" applyBorder="1" applyAlignment="1">
      <alignment horizontal="center" vertical="center" wrapText="1"/>
      <protection/>
    </xf>
    <xf numFmtId="0" fontId="4" fillId="4" borderId="62" xfId="20" applyFont="1" applyFill="1" applyBorder="1" applyAlignment="1">
      <alignment horizontal="center" vertical="center" wrapText="1"/>
      <protection/>
    </xf>
    <xf numFmtId="0" fontId="34" fillId="4" borderId="1" xfId="20" applyFont="1" applyFill="1" applyBorder="1" applyAlignment="1">
      <alignment horizontal="center" vertical="center" wrapText="1"/>
      <protection/>
    </xf>
    <xf numFmtId="0" fontId="34" fillId="4" borderId="7" xfId="20" applyFont="1" applyFill="1" applyBorder="1" applyAlignment="1">
      <alignment horizontal="center" vertical="center" wrapText="1"/>
      <protection/>
    </xf>
    <xf numFmtId="3" fontId="27" fillId="0" borderId="8" xfId="20" applyNumberFormat="1" applyFont="1" applyFill="1" applyBorder="1" applyAlignment="1">
      <alignment horizontal="left" vertical="center" wrapText="1"/>
      <protection/>
    </xf>
    <xf numFmtId="3" fontId="27" fillId="0" borderId="16" xfId="20" applyNumberFormat="1" applyFont="1" applyFill="1" applyBorder="1" applyAlignment="1">
      <alignment horizontal="left" vertical="center" wrapText="1"/>
      <protection/>
    </xf>
    <xf numFmtId="0" fontId="10" fillId="0" borderId="14" xfId="20" applyFont="1" applyFill="1" applyBorder="1" applyAlignment="1">
      <alignment horizontal="center" vertical="center" wrapText="1"/>
      <protection/>
    </xf>
    <xf numFmtId="0" fontId="35" fillId="0" borderId="116" xfId="20" applyFont="1" applyFill="1" applyBorder="1" applyAlignment="1">
      <alignment horizontal="left" vertical="center" wrapText="1"/>
      <protection/>
    </xf>
    <xf numFmtId="0" fontId="35" fillId="0" borderId="84" xfId="20" applyFont="1" applyFill="1" applyBorder="1" applyAlignment="1">
      <alignment horizontal="left" vertical="center" wrapText="1"/>
      <protection/>
    </xf>
    <xf numFmtId="3" fontId="4" fillId="4" borderId="80" xfId="20" applyNumberFormat="1" applyFont="1" applyFill="1" applyBorder="1" applyAlignment="1">
      <alignment horizontal="center" vertical="center" wrapText="1"/>
      <protection/>
    </xf>
    <xf numFmtId="3" fontId="4" fillId="4" borderId="8" xfId="20" applyNumberFormat="1" applyFont="1" applyFill="1" applyBorder="1" applyAlignment="1">
      <alignment horizontal="center" vertical="center" wrapText="1"/>
      <protection/>
    </xf>
    <xf numFmtId="0" fontId="4" fillId="4" borderId="7" xfId="20" applyFont="1" applyFill="1" applyBorder="1" applyAlignment="1">
      <alignment horizontal="center" vertical="center" wrapText="1"/>
      <protection/>
    </xf>
    <xf numFmtId="0" fontId="4" fillId="4" borderId="8" xfId="20" applyFont="1" applyFill="1" applyBorder="1" applyAlignment="1">
      <alignment horizontal="center" vertical="center" wrapText="1"/>
      <protection/>
    </xf>
    <xf numFmtId="0" fontId="4" fillId="4" borderId="16" xfId="20" applyFont="1" applyFill="1" applyBorder="1" applyAlignment="1">
      <alignment horizontal="center" vertical="center" wrapText="1"/>
      <protection/>
    </xf>
    <xf numFmtId="0" fontId="10" fillId="0" borderId="76" xfId="20" applyFont="1" applyFill="1" applyBorder="1" applyAlignment="1">
      <alignment horizontal="center" vertical="center" wrapText="1"/>
      <protection/>
    </xf>
    <xf numFmtId="0" fontId="10" fillId="0" borderId="70" xfId="20" applyFont="1" applyFill="1" applyBorder="1" applyAlignment="1">
      <alignment horizontal="center" vertical="center" wrapText="1"/>
      <protection/>
    </xf>
    <xf numFmtId="0" fontId="10" fillId="0" borderId="55" xfId="20" applyFont="1" applyFill="1" applyBorder="1" applyAlignment="1">
      <alignment horizontal="center" vertical="center" wrapText="1"/>
      <protection/>
    </xf>
    <xf numFmtId="0" fontId="4" fillId="4" borderId="14" xfId="20" applyFont="1" applyFill="1" applyBorder="1" applyAlignment="1">
      <alignment horizontal="center" vertical="center" wrapText="1"/>
      <protection/>
    </xf>
    <xf numFmtId="0" fontId="4" fillId="4" borderId="64" xfId="20" applyFont="1" applyFill="1" applyBorder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10" fillId="0" borderId="72" xfId="20" applyFont="1" applyFill="1" applyBorder="1" applyAlignment="1">
      <alignment horizontal="center" vertical="center" wrapText="1"/>
      <protection/>
    </xf>
    <xf numFmtId="0" fontId="10" fillId="0" borderId="83" xfId="20" applyFont="1" applyFill="1" applyBorder="1" applyAlignment="1">
      <alignment horizontal="center" vertical="center" wrapText="1"/>
      <protection/>
    </xf>
    <xf numFmtId="0" fontId="0" fillId="0" borderId="76" xfId="20" applyBorder="1">
      <alignment/>
      <protection/>
    </xf>
    <xf numFmtId="0" fontId="0" fillId="0" borderId="55" xfId="20" applyBorder="1">
      <alignment/>
      <protection/>
    </xf>
    <xf numFmtId="0" fontId="35" fillId="0" borderId="117" xfId="20" applyFont="1" applyFill="1" applyBorder="1" applyAlignment="1">
      <alignment horizontal="left" vertical="center" wrapText="1"/>
      <protection/>
    </xf>
    <xf numFmtId="0" fontId="35" fillId="0" borderId="12" xfId="20" applyFont="1" applyFill="1" applyBorder="1" applyAlignment="1">
      <alignment horizontal="left" vertical="center" wrapText="1"/>
      <protection/>
    </xf>
    <xf numFmtId="0" fontId="35" fillId="0" borderId="9" xfId="20" applyFont="1" applyFill="1" applyBorder="1" applyAlignment="1">
      <alignment horizontal="left" vertical="center" wrapText="1"/>
      <protection/>
    </xf>
    <xf numFmtId="0" fontId="34" fillId="0" borderId="118" xfId="20" applyFont="1" applyFill="1" applyBorder="1" applyAlignment="1">
      <alignment horizontal="center" vertical="center" wrapText="1"/>
      <protection/>
    </xf>
    <xf numFmtId="0" fontId="34" fillId="0" borderId="18" xfId="20" applyFont="1" applyFill="1" applyBorder="1" applyAlignment="1">
      <alignment horizontal="center" vertical="center" wrapText="1"/>
      <protection/>
    </xf>
    <xf numFmtId="0" fontId="34" fillId="0" borderId="58" xfId="20" applyFont="1" applyFill="1" applyBorder="1" applyAlignment="1">
      <alignment horizontal="center" vertical="center" wrapText="1"/>
      <protection/>
    </xf>
    <xf numFmtId="0" fontId="34" fillId="4" borderId="88" xfId="20" applyFont="1" applyFill="1" applyBorder="1" applyAlignment="1">
      <alignment horizontal="center" vertical="center" wrapText="1"/>
      <protection/>
    </xf>
    <xf numFmtId="0" fontId="34" fillId="4" borderId="77" xfId="20" applyFont="1" applyFill="1" applyBorder="1" applyAlignment="1">
      <alignment horizontal="center" vertical="center" wrapText="1"/>
      <protection/>
    </xf>
    <xf numFmtId="0" fontId="34" fillId="0" borderId="78" xfId="20" applyFont="1" applyFill="1" applyBorder="1" applyAlignment="1">
      <alignment horizontal="center" vertical="center" wrapText="1"/>
      <protection/>
    </xf>
    <xf numFmtId="0" fontId="34" fillId="0" borderId="22" xfId="20" applyFont="1" applyFill="1" applyBorder="1" applyAlignment="1">
      <alignment horizontal="center" vertical="center" wrapText="1"/>
      <protection/>
    </xf>
    <xf numFmtId="0" fontId="34" fillId="0" borderId="33" xfId="20" applyFont="1" applyFill="1" applyBorder="1" applyAlignment="1">
      <alignment horizontal="center" vertical="center" wrapText="1"/>
      <protection/>
    </xf>
    <xf numFmtId="0" fontId="35" fillId="0" borderId="119" xfId="20" applyFont="1" applyFill="1" applyBorder="1" applyAlignment="1">
      <alignment horizontal="left" vertical="center" wrapText="1"/>
      <protection/>
    </xf>
    <xf numFmtId="0" fontId="35" fillId="0" borderId="120" xfId="20" applyFont="1" applyFill="1" applyBorder="1" applyAlignment="1">
      <alignment horizontal="left" vertical="center" wrapText="1"/>
      <protection/>
    </xf>
    <xf numFmtId="0" fontId="35" fillId="0" borderId="95" xfId="20" applyFont="1" applyFill="1" applyBorder="1" applyAlignment="1">
      <alignment horizontal="left" vertical="center" wrapText="1"/>
      <protection/>
    </xf>
    <xf numFmtId="0" fontId="35" fillId="0" borderId="121" xfId="20" applyFont="1" applyFill="1" applyBorder="1" applyAlignment="1">
      <alignment horizontal="left" vertical="center" wrapText="1"/>
      <protection/>
    </xf>
    <xf numFmtId="0" fontId="35" fillId="0" borderId="81" xfId="20" applyFont="1" applyFill="1" applyBorder="1" applyAlignment="1">
      <alignment horizontal="left" vertical="center" wrapText="1"/>
      <protection/>
    </xf>
    <xf numFmtId="0" fontId="34" fillId="0" borderId="54" xfId="20" applyFont="1" applyFill="1" applyBorder="1" applyAlignment="1">
      <alignment horizontal="center" vertical="center" wrapText="1"/>
      <protection/>
    </xf>
    <xf numFmtId="0" fontId="34" fillId="0" borderId="17" xfId="20" applyFont="1" applyFill="1" applyBorder="1" applyAlignment="1">
      <alignment horizontal="center" vertical="center" wrapText="1"/>
      <protection/>
    </xf>
    <xf numFmtId="0" fontId="35" fillId="0" borderId="122" xfId="20" applyFont="1" applyFill="1" applyBorder="1" applyAlignment="1">
      <alignment horizontal="left" vertical="center" wrapText="1"/>
      <protection/>
    </xf>
    <xf numFmtId="0" fontId="35" fillId="0" borderId="123" xfId="20" applyFont="1" applyFill="1" applyBorder="1" applyAlignment="1">
      <alignment horizontal="left" vertical="center" wrapText="1"/>
      <protection/>
    </xf>
    <xf numFmtId="0" fontId="35" fillId="0" borderId="101" xfId="20" applyFont="1" applyFill="1" applyBorder="1" applyAlignment="1">
      <alignment horizontal="left" vertical="center" wrapText="1"/>
      <protection/>
    </xf>
    <xf numFmtId="0" fontId="35" fillId="0" borderId="65" xfId="20" applyFont="1" applyFill="1" applyBorder="1" applyAlignment="1">
      <alignment horizontal="left" vertical="center" wrapText="1"/>
      <protection/>
    </xf>
    <xf numFmtId="0" fontId="35" fillId="0" borderId="1" xfId="20" applyFont="1" applyFill="1" applyBorder="1" applyAlignment="1">
      <alignment horizontal="left" vertical="center" wrapText="1"/>
      <protection/>
    </xf>
    <xf numFmtId="0" fontId="10" fillId="0" borderId="62" xfId="20" applyFont="1" applyFill="1" applyBorder="1" applyAlignment="1">
      <alignment horizontal="center" vertical="center" wrapText="1"/>
      <protection/>
    </xf>
    <xf numFmtId="3" fontId="10" fillId="0" borderId="62" xfId="20" applyNumberFormat="1" applyFont="1" applyFill="1" applyBorder="1" applyAlignment="1">
      <alignment horizontal="center" vertical="center" wrapText="1"/>
      <protection/>
    </xf>
    <xf numFmtId="3" fontId="10" fillId="0" borderId="70" xfId="20" applyNumberFormat="1" applyFont="1" applyFill="1" applyBorder="1" applyAlignment="1">
      <alignment horizontal="center" vertical="center" wrapText="1"/>
      <protection/>
    </xf>
    <xf numFmtId="3" fontId="10" fillId="0" borderId="60" xfId="20" applyNumberFormat="1" applyFont="1" applyFill="1" applyBorder="1" applyAlignment="1">
      <alignment horizontal="center" vertical="center" wrapText="1"/>
      <protection/>
    </xf>
    <xf numFmtId="3" fontId="10" fillId="0" borderId="7" xfId="20" applyNumberFormat="1" applyFont="1" applyFill="1" applyBorder="1" applyAlignment="1">
      <alignment horizontal="center" vertical="center" wrapText="1"/>
      <protection/>
    </xf>
    <xf numFmtId="3" fontId="10" fillId="0" borderId="8" xfId="20" applyNumberFormat="1" applyFont="1" applyFill="1" applyBorder="1" applyAlignment="1">
      <alignment horizontal="center" vertical="center" wrapText="1"/>
      <protection/>
    </xf>
    <xf numFmtId="3" fontId="10" fillId="0" borderId="16" xfId="20" applyNumberFormat="1" applyFont="1" applyFill="1" applyBorder="1" applyAlignment="1">
      <alignment horizontal="center" vertical="center" wrapText="1"/>
      <protection/>
    </xf>
    <xf numFmtId="0" fontId="10" fillId="0" borderId="7" xfId="20" applyFont="1" applyFill="1" applyBorder="1" applyAlignment="1">
      <alignment horizontal="center" vertical="center" wrapText="1"/>
      <protection/>
    </xf>
    <xf numFmtId="3" fontId="10" fillId="0" borderId="46" xfId="0" applyNumberFormat="1" applyFont="1" applyFill="1" applyBorder="1" applyAlignment="1">
      <alignment horizontal="center" vertical="center" wrapText="1"/>
    </xf>
    <xf numFmtId="3" fontId="10" fillId="0" borderId="29" xfId="0" applyNumberFormat="1" applyFont="1" applyFill="1" applyBorder="1" applyAlignment="1">
      <alignment horizontal="center" vertical="center" wrapText="1"/>
    </xf>
    <xf numFmtId="3" fontId="10" fillId="0" borderId="27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4" fillId="4" borderId="46" xfId="0" applyNumberFormat="1" applyFont="1" applyFill="1" applyBorder="1" applyAlignment="1">
      <alignment horizontal="center" vertical="center" wrapText="1"/>
    </xf>
    <xf numFmtId="3" fontId="4" fillId="4" borderId="47" xfId="0" applyNumberFormat="1" applyFont="1" applyFill="1" applyBorder="1" applyAlignment="1">
      <alignment horizontal="center" vertical="center" wrapText="1"/>
    </xf>
    <xf numFmtId="3" fontId="4" fillId="4" borderId="29" xfId="0" applyNumberFormat="1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center" vertical="center" wrapText="1"/>
    </xf>
    <xf numFmtId="3" fontId="4" fillId="4" borderId="27" xfId="0" applyNumberFormat="1" applyFont="1" applyFill="1" applyBorder="1" applyAlignment="1">
      <alignment horizontal="center" vertical="center" wrapText="1"/>
    </xf>
    <xf numFmtId="3" fontId="4" fillId="4" borderId="41" xfId="0" applyNumberFormat="1" applyFont="1" applyFill="1" applyBorder="1" applyAlignment="1">
      <alignment horizontal="center" vertical="center" wrapText="1"/>
    </xf>
    <xf numFmtId="0" fontId="34" fillId="4" borderId="46" xfId="0" applyFont="1" applyFill="1" applyBorder="1" applyAlignment="1">
      <alignment horizontal="center" vertical="center" wrapText="1"/>
    </xf>
    <xf numFmtId="0" fontId="34" fillId="4" borderId="124" xfId="0" applyFont="1" applyFill="1" applyBorder="1" applyAlignment="1">
      <alignment horizontal="center" vertical="center" wrapText="1"/>
    </xf>
    <xf numFmtId="0" fontId="34" fillId="4" borderId="47" xfId="0" applyFont="1" applyFill="1" applyBorder="1" applyAlignment="1">
      <alignment horizontal="center" vertical="center" wrapText="1"/>
    </xf>
    <xf numFmtId="0" fontId="34" fillId="4" borderId="27" xfId="0" applyFont="1" applyFill="1" applyBorder="1" applyAlignment="1">
      <alignment horizontal="center" vertical="center" wrapText="1"/>
    </xf>
    <xf numFmtId="0" fontId="34" fillId="4" borderId="48" xfId="0" applyFont="1" applyFill="1" applyBorder="1" applyAlignment="1">
      <alignment horizontal="center" vertical="center" wrapText="1"/>
    </xf>
    <xf numFmtId="0" fontId="34" fillId="4" borderId="4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34" fillId="4" borderId="7" xfId="0" applyFont="1" applyFill="1" applyBorder="1" applyAlignment="1">
      <alignment horizontal="center" vertical="center" wrapText="1"/>
    </xf>
    <xf numFmtId="0" fontId="34" fillId="4" borderId="8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vertical="center" wrapText="1"/>
    </xf>
    <xf numFmtId="0" fontId="4" fillId="4" borderId="62" xfId="0" applyFont="1" applyFill="1" applyBorder="1" applyAlignment="1">
      <alignment horizontal="center" vertical="center" wrapText="1"/>
    </xf>
    <xf numFmtId="0" fontId="4" fillId="4" borderId="70" xfId="0" applyFont="1" applyFill="1" applyBorder="1" applyAlignment="1">
      <alignment horizontal="center" vertical="center" wrapText="1"/>
    </xf>
    <xf numFmtId="0" fontId="4" fillId="4" borderId="60" xfId="0" applyFont="1" applyFill="1" applyBorder="1" applyAlignment="1">
      <alignment horizontal="center" vertical="center" wrapText="1"/>
    </xf>
    <xf numFmtId="0" fontId="34" fillId="4" borderId="69" xfId="0" applyFont="1" applyFill="1" applyBorder="1" applyAlignment="1">
      <alignment horizontal="center" vertical="center" wrapText="1"/>
    </xf>
    <xf numFmtId="0" fontId="34" fillId="4" borderId="77" xfId="0" applyFont="1" applyFill="1" applyBorder="1" applyAlignment="1">
      <alignment horizontal="center" vertical="center" wrapText="1"/>
    </xf>
    <xf numFmtId="0" fontId="34" fillId="4" borderId="59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26" fillId="0" borderId="88" xfId="0" applyFont="1" applyFill="1" applyBorder="1" applyAlignment="1">
      <alignment horizontal="center" vertical="center" wrapText="1"/>
    </xf>
    <xf numFmtId="0" fontId="26" fillId="0" borderId="77" xfId="0" applyFont="1" applyFill="1" applyBorder="1" applyAlignment="1">
      <alignment horizontal="center" vertical="center" wrapText="1"/>
    </xf>
    <xf numFmtId="0" fontId="26" fillId="0" borderId="71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115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4" borderId="5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4" fillId="4" borderId="50" xfId="0" applyFont="1" applyFill="1" applyBorder="1" applyAlignment="1">
      <alignment horizontal="center" vertical="center" wrapText="1"/>
    </xf>
    <xf numFmtId="0" fontId="34" fillId="4" borderId="49" xfId="0" applyFont="1" applyFill="1" applyBorder="1" applyAlignment="1">
      <alignment horizontal="center" vertical="center" wrapText="1"/>
    </xf>
    <xf numFmtId="0" fontId="34" fillId="4" borderId="83" xfId="0" applyFont="1" applyFill="1" applyBorder="1" applyAlignment="1">
      <alignment horizontal="center" vertical="center" wrapText="1"/>
    </xf>
    <xf numFmtId="0" fontId="34" fillId="4" borderId="12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3" fontId="4" fillId="4" borderId="50" xfId="0" applyNumberFormat="1" applyFont="1" applyFill="1" applyBorder="1" applyAlignment="1">
      <alignment horizontal="center" vertical="center" wrapText="1"/>
    </xf>
    <xf numFmtId="3" fontId="4" fillId="4" borderId="115" xfId="0" applyNumberFormat="1" applyFont="1" applyFill="1" applyBorder="1" applyAlignment="1">
      <alignment horizontal="center" vertical="center" wrapText="1"/>
    </xf>
    <xf numFmtId="3" fontId="4" fillId="4" borderId="53" xfId="0" applyNumberFormat="1" applyFont="1" applyFill="1" applyBorder="1" applyAlignment="1">
      <alignment horizontal="center" vertical="center" wrapText="1"/>
    </xf>
    <xf numFmtId="3" fontId="4" fillId="4" borderId="20" xfId="0" applyNumberFormat="1" applyFont="1" applyFill="1" applyBorder="1" applyAlignment="1">
      <alignment horizontal="center" vertical="center" wrapText="1"/>
    </xf>
    <xf numFmtId="0" fontId="4" fillId="4" borderId="72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0" fontId="34" fillId="4" borderId="88" xfId="0" applyFont="1" applyFill="1" applyBorder="1" applyAlignment="1">
      <alignment horizontal="center" vertical="center" wrapText="1"/>
    </xf>
    <xf numFmtId="0" fontId="34" fillId="4" borderId="71" xfId="0" applyFont="1" applyFill="1" applyBorder="1" applyAlignment="1">
      <alignment horizontal="center" vertical="center" wrapText="1"/>
    </xf>
    <xf numFmtId="0" fontId="34" fillId="4" borderId="80" xfId="0" applyFont="1" applyFill="1" applyBorder="1" applyAlignment="1">
      <alignment horizontal="center" vertical="center" wrapText="1"/>
    </xf>
    <xf numFmtId="0" fontId="34" fillId="4" borderId="14" xfId="0" applyFont="1" applyFill="1" applyBorder="1" applyAlignment="1">
      <alignment horizontal="center" vertical="center" wrapText="1"/>
    </xf>
    <xf numFmtId="0" fontId="39" fillId="2" borderId="7" xfId="18" applyFont="1" applyFill="1" applyBorder="1" applyAlignment="1">
      <alignment horizontal="center" vertical="center" wrapText="1"/>
      <protection/>
    </xf>
    <xf numFmtId="0" fontId="39" fillId="2" borderId="14" xfId="18" applyFont="1" applyFill="1" applyBorder="1" applyAlignment="1">
      <alignment horizontal="center" vertical="center" wrapText="1"/>
      <protection/>
    </xf>
    <xf numFmtId="0" fontId="39" fillId="2" borderId="50" xfId="18" applyFont="1" applyFill="1" applyBorder="1" applyAlignment="1">
      <alignment horizontal="center" vertical="center" wrapText="1"/>
      <protection/>
    </xf>
    <xf numFmtId="0" fontId="39" fillId="2" borderId="49" xfId="18" applyFont="1" applyFill="1" applyBorder="1" applyAlignment="1">
      <alignment horizontal="center" vertical="center" wrapText="1"/>
      <protection/>
    </xf>
    <xf numFmtId="0" fontId="39" fillId="2" borderId="83" xfId="18" applyFont="1" applyFill="1" applyBorder="1" applyAlignment="1">
      <alignment horizontal="center" vertical="center" wrapText="1"/>
      <protection/>
    </xf>
    <xf numFmtId="0" fontId="39" fillId="2" borderId="27" xfId="18" applyFont="1" applyFill="1" applyBorder="1" applyAlignment="1">
      <alignment horizontal="center" vertical="center" wrapText="1"/>
      <protection/>
    </xf>
    <xf numFmtId="0" fontId="39" fillId="2" borderId="48" xfId="18" applyFont="1" applyFill="1" applyBorder="1" applyAlignment="1">
      <alignment horizontal="center" vertical="center" wrapText="1"/>
      <protection/>
    </xf>
    <xf numFmtId="0" fontId="39" fillId="2" borderId="125" xfId="18" applyFont="1" applyFill="1" applyBorder="1" applyAlignment="1">
      <alignment horizontal="center" vertical="center" wrapText="1"/>
      <protection/>
    </xf>
    <xf numFmtId="0" fontId="26" fillId="0" borderId="0" xfId="18" applyFont="1" applyBorder="1" applyAlignment="1">
      <alignment horizontal="center" vertical="top" wrapText="1"/>
      <protection/>
    </xf>
    <xf numFmtId="0" fontId="23" fillId="2" borderId="126" xfId="18" applyFont="1" applyFill="1" applyBorder="1" applyAlignment="1">
      <alignment horizontal="center" vertical="center" wrapText="1"/>
      <protection/>
    </xf>
    <xf numFmtId="0" fontId="23" fillId="2" borderId="65" xfId="18" applyFont="1" applyFill="1" applyBorder="1" applyAlignment="1">
      <alignment horizontal="center" vertical="center" wrapText="1"/>
      <protection/>
    </xf>
    <xf numFmtId="0" fontId="23" fillId="2" borderId="73" xfId="18" applyFont="1" applyFill="1" applyBorder="1" applyAlignment="1">
      <alignment horizontal="center" vertical="center" wrapText="1"/>
      <protection/>
    </xf>
    <xf numFmtId="0" fontId="39" fillId="2" borderId="13" xfId="18" applyFont="1" applyFill="1" applyBorder="1" applyAlignment="1">
      <alignment horizontal="center" vertical="center" wrapText="1"/>
      <protection/>
    </xf>
    <xf numFmtId="0" fontId="39" fillId="2" borderId="1" xfId="18" applyFont="1" applyFill="1" applyBorder="1" applyAlignment="1">
      <alignment horizontal="center" vertical="center" wrapText="1"/>
      <protection/>
    </xf>
    <xf numFmtId="0" fontId="39" fillId="2" borderId="56" xfId="18" applyFont="1" applyFill="1" applyBorder="1" applyAlignment="1">
      <alignment horizontal="center" vertical="center" wrapText="1"/>
      <protection/>
    </xf>
    <xf numFmtId="0" fontId="39" fillId="2" borderId="68" xfId="18" applyFont="1" applyFill="1" applyBorder="1" applyAlignment="1">
      <alignment horizontal="center" vertical="center" wrapText="1"/>
      <protection/>
    </xf>
    <xf numFmtId="0" fontId="39" fillId="2" borderId="18" xfId="18" applyFont="1" applyFill="1" applyBorder="1" applyAlignment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0" fontId="32" fillId="0" borderId="0" xfId="18" applyFont="1" applyBorder="1" applyAlignment="1">
      <alignment horizontal="left" wrapText="1"/>
      <protection/>
    </xf>
    <xf numFmtId="0" fontId="42" fillId="0" borderId="7" xfId="18" applyFont="1" applyBorder="1" applyAlignment="1">
      <alignment horizontal="left" vertical="center" wrapText="1"/>
      <protection/>
    </xf>
    <xf numFmtId="0" fontId="42" fillId="0" borderId="14" xfId="18" applyFont="1" applyBorder="1" applyAlignment="1">
      <alignment horizontal="left" vertical="center" wrapText="1"/>
      <protection/>
    </xf>
    <xf numFmtId="0" fontId="43" fillId="0" borderId="14" xfId="18" applyFont="1" applyBorder="1" applyAlignment="1">
      <alignment horizontal="left" vertical="center" wrapText="1"/>
      <protection/>
    </xf>
    <xf numFmtId="0" fontId="0" fillId="0" borderId="2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top" wrapText="1"/>
    </xf>
    <xf numFmtId="0" fontId="0" fillId="0" borderId="66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0" fillId="0" borderId="127" xfId="0" applyFont="1" applyBorder="1" applyAlignment="1">
      <alignment horizontal="left" vertical="center"/>
    </xf>
    <xf numFmtId="0" fontId="0" fillId="0" borderId="128" xfId="0" applyFont="1" applyBorder="1" applyAlignment="1">
      <alignment horizontal="left" vertical="center"/>
    </xf>
    <xf numFmtId="0" fontId="0" fillId="0" borderId="129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26" xfId="0" applyFont="1" applyBorder="1" applyAlignment="1">
      <alignment horizontal="left" vertical="center"/>
    </xf>
    <xf numFmtId="0" fontId="0" fillId="0" borderId="1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4" fillId="2" borderId="46" xfId="0" applyFont="1" applyFill="1" applyBorder="1" applyAlignment="1">
      <alignment horizontal="center" vertical="center"/>
    </xf>
    <xf numFmtId="0" fontId="4" fillId="2" borderId="124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3" fontId="20" fillId="0" borderId="104" xfId="0" applyNumberFormat="1" applyFont="1" applyFill="1" applyBorder="1" applyAlignment="1">
      <alignment vertical="center"/>
    </xf>
    <xf numFmtId="3" fontId="20" fillId="0" borderId="94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</cellXfs>
  <cellStyles count="11">
    <cellStyle name="Normal" xfId="0"/>
    <cellStyle name="Comma" xfId="15"/>
    <cellStyle name="Comma [0]" xfId="16"/>
    <cellStyle name="Hyperlink" xfId="17"/>
    <cellStyle name="Normalny_28647_20060508_140808" xfId="18"/>
    <cellStyle name="Normalny_autopoprawka" xfId="19"/>
    <cellStyle name="Normalny_Zarz78_Zał1_Projekt załączników2008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klad&#173;_wykonawcz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datki UG"/>
      <sheetName val="Arkusz1"/>
      <sheetName val="Arkusz2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2:Q195"/>
  <sheetViews>
    <sheetView showGridLines="0" zoomScale="75" zoomScaleNormal="75" workbookViewId="0" topLeftCell="A83">
      <selection activeCell="A29" sqref="A29:P29"/>
    </sheetView>
  </sheetViews>
  <sheetFormatPr defaultColWidth="9.00390625" defaultRowHeight="12.75"/>
  <cols>
    <col min="1" max="1" width="5.875" style="63" customWidth="1"/>
    <col min="2" max="2" width="8.125" style="63" customWidth="1"/>
    <col min="3" max="3" width="5.625" style="63" customWidth="1"/>
    <col min="4" max="4" width="51.375" style="0" customWidth="1"/>
    <col min="5" max="5" width="13.625" style="0" hidden="1" customWidth="1"/>
    <col min="6" max="6" width="1.75390625" style="0" hidden="1" customWidth="1"/>
    <col min="7" max="7" width="13.625" style="0" customWidth="1"/>
    <col min="8" max="8" width="6.75390625" style="0" hidden="1" customWidth="1"/>
    <col min="9" max="9" width="13.125" style="0" customWidth="1"/>
    <col min="10" max="10" width="12.125" style="0" customWidth="1"/>
    <col min="11" max="11" width="11.875" style="0" customWidth="1"/>
    <col min="12" max="12" width="12.875" style="0" customWidth="1"/>
    <col min="13" max="13" width="12.25390625" style="0" customWidth="1"/>
    <col min="14" max="14" width="11.625" style="0" customWidth="1"/>
    <col min="15" max="15" width="11.875" style="0" customWidth="1"/>
    <col min="16" max="16" width="12.25390625" style="0" customWidth="1"/>
    <col min="17" max="17" width="11.625" style="0" bestFit="1" customWidth="1"/>
  </cols>
  <sheetData>
    <row r="1" ht="6.75" customHeight="1"/>
    <row r="2" spans="2:16" ht="15" customHeight="1">
      <c r="B2" s="866" t="s">
        <v>603</v>
      </c>
      <c r="C2" s="866"/>
      <c r="D2" s="866"/>
      <c r="E2" s="866"/>
      <c r="F2" s="866"/>
      <c r="G2" s="866"/>
      <c r="H2" s="2"/>
      <c r="O2" s="84"/>
      <c r="P2" s="84" t="s">
        <v>109</v>
      </c>
    </row>
    <row r="3" spans="5:16" ht="7.5" customHeight="1" thickBot="1">
      <c r="E3" s="14"/>
      <c r="F3" s="14"/>
      <c r="G3" s="14"/>
      <c r="H3" s="14"/>
      <c r="J3" s="14"/>
      <c r="L3" s="14"/>
      <c r="O3" s="14"/>
      <c r="P3" s="14"/>
    </row>
    <row r="4" spans="1:16" s="76" customFormat="1" ht="13.5" customHeight="1" thickBot="1">
      <c r="A4" s="867" t="s">
        <v>57</v>
      </c>
      <c r="B4" s="869" t="s">
        <v>58</v>
      </c>
      <c r="C4" s="869" t="s">
        <v>59</v>
      </c>
      <c r="D4" s="869" t="s">
        <v>142</v>
      </c>
      <c r="E4" s="873" t="s">
        <v>534</v>
      </c>
      <c r="F4" s="874" t="s">
        <v>471</v>
      </c>
      <c r="G4" s="871" t="s">
        <v>525</v>
      </c>
      <c r="H4" s="880" t="s">
        <v>536</v>
      </c>
      <c r="I4" s="876" t="s">
        <v>541</v>
      </c>
      <c r="J4" s="878" t="s">
        <v>61</v>
      </c>
      <c r="K4" s="879"/>
      <c r="L4" s="876" t="s">
        <v>542</v>
      </c>
      <c r="M4" s="234" t="s">
        <v>61</v>
      </c>
      <c r="N4" s="235"/>
      <c r="O4" s="235"/>
      <c r="P4" s="236"/>
    </row>
    <row r="5" spans="1:16" s="76" customFormat="1" ht="78" thickBot="1">
      <c r="A5" s="868"/>
      <c r="B5" s="870"/>
      <c r="C5" s="870"/>
      <c r="D5" s="870"/>
      <c r="E5" s="870"/>
      <c r="F5" s="875"/>
      <c r="G5" s="872"/>
      <c r="H5" s="881"/>
      <c r="I5" s="877"/>
      <c r="J5" s="215" t="s">
        <v>469</v>
      </c>
      <c r="K5" s="215" t="s">
        <v>354</v>
      </c>
      <c r="L5" s="877"/>
      <c r="M5" s="215" t="s">
        <v>470</v>
      </c>
      <c r="N5" s="215" t="s">
        <v>261</v>
      </c>
      <c r="O5" s="216" t="s">
        <v>260</v>
      </c>
      <c r="P5" s="216" t="s">
        <v>729</v>
      </c>
    </row>
    <row r="6" spans="1:16" s="46" customFormat="1" ht="9" thickBot="1">
      <c r="A6" s="790">
        <v>1</v>
      </c>
      <c r="B6" s="790">
        <v>2</v>
      </c>
      <c r="C6" s="790">
        <v>3</v>
      </c>
      <c r="D6" s="790">
        <v>4</v>
      </c>
      <c r="E6" s="790">
        <v>5</v>
      </c>
      <c r="F6" s="791">
        <v>6</v>
      </c>
      <c r="G6" s="792">
        <v>5</v>
      </c>
      <c r="H6" s="793">
        <v>8</v>
      </c>
      <c r="I6" s="790">
        <v>6</v>
      </c>
      <c r="J6" s="790">
        <v>7</v>
      </c>
      <c r="K6" s="790">
        <v>8</v>
      </c>
      <c r="L6" s="790">
        <v>9</v>
      </c>
      <c r="M6" s="790">
        <v>10</v>
      </c>
      <c r="N6" s="790">
        <v>11</v>
      </c>
      <c r="O6" s="790">
        <v>12</v>
      </c>
      <c r="P6" s="790">
        <v>13</v>
      </c>
    </row>
    <row r="7" spans="1:16" s="62" customFormat="1" ht="24.75" customHeight="1" thickBot="1">
      <c r="A7" s="706" t="s">
        <v>170</v>
      </c>
      <c r="B7" s="693"/>
      <c r="C7" s="688"/>
      <c r="D7" s="688" t="s">
        <v>172</v>
      </c>
      <c r="E7" s="689">
        <f>E8+E15+E13</f>
        <v>4797319</v>
      </c>
      <c r="F7" s="694">
        <f>F8+F15+F13</f>
        <v>4760389</v>
      </c>
      <c r="G7" s="690">
        <f>G8+G15+G13</f>
        <v>5354800</v>
      </c>
      <c r="H7" s="261">
        <f>G7/F7</f>
        <v>1.1248660561143218</v>
      </c>
      <c r="I7" s="689">
        <f aca="true" t="shared" si="0" ref="I7:P7">I8+I15+I13</f>
        <v>5342800</v>
      </c>
      <c r="J7" s="689">
        <f t="shared" si="0"/>
        <v>5318800</v>
      </c>
      <c r="K7" s="689">
        <f t="shared" si="0"/>
        <v>24000</v>
      </c>
      <c r="L7" s="689">
        <f t="shared" si="0"/>
        <v>12000</v>
      </c>
      <c r="M7" s="689">
        <f t="shared" si="0"/>
        <v>0</v>
      </c>
      <c r="N7" s="689">
        <f t="shared" si="0"/>
        <v>0</v>
      </c>
      <c r="O7" s="689">
        <f t="shared" si="0"/>
        <v>0</v>
      </c>
      <c r="P7" s="691">
        <f t="shared" si="0"/>
        <v>12000</v>
      </c>
    </row>
    <row r="8" spans="1:16" s="61" customFormat="1" ht="21.75" customHeight="1" thickBot="1">
      <c r="A8" s="180"/>
      <c r="B8" s="729" t="s">
        <v>225</v>
      </c>
      <c r="C8" s="730"/>
      <c r="D8" s="731" t="s">
        <v>226</v>
      </c>
      <c r="E8" s="732">
        <f aca="true" t="shared" si="1" ref="E8:P8">SUM(E9:E12)</f>
        <v>3664282</v>
      </c>
      <c r="F8" s="733">
        <f>SUM(F9:F12)</f>
        <v>3664282</v>
      </c>
      <c r="G8" s="734">
        <f t="shared" si="1"/>
        <v>4604500</v>
      </c>
      <c r="H8" s="735">
        <f>G8/F8</f>
        <v>1.2565899676935346</v>
      </c>
      <c r="I8" s="732">
        <f t="shared" si="1"/>
        <v>4592500</v>
      </c>
      <c r="J8" s="732">
        <f t="shared" si="1"/>
        <v>4592500</v>
      </c>
      <c r="K8" s="732">
        <f t="shared" si="1"/>
        <v>0</v>
      </c>
      <c r="L8" s="732">
        <f t="shared" si="1"/>
        <v>12000</v>
      </c>
      <c r="M8" s="732">
        <f t="shared" si="1"/>
        <v>0</v>
      </c>
      <c r="N8" s="732">
        <f t="shared" si="1"/>
        <v>0</v>
      </c>
      <c r="O8" s="732">
        <f>SUM(O9:O12)</f>
        <v>0</v>
      </c>
      <c r="P8" s="732">
        <f t="shared" si="1"/>
        <v>12000</v>
      </c>
    </row>
    <row r="9" spans="1:16" ht="22.5" customHeight="1" thickTop="1">
      <c r="A9" s="67"/>
      <c r="B9" s="830"/>
      <c r="C9" s="831" t="s">
        <v>177</v>
      </c>
      <c r="D9" s="832" t="s">
        <v>178</v>
      </c>
      <c r="E9" s="833">
        <v>53000</v>
      </c>
      <c r="F9" s="834">
        <v>53000</v>
      </c>
      <c r="G9" s="835">
        <f>I9+L9</f>
        <v>12000</v>
      </c>
      <c r="H9" s="836">
        <f aca="true" t="shared" si="2" ref="H9:H76">G9/F9</f>
        <v>0.22641509433962265</v>
      </c>
      <c r="I9" s="833">
        <f>J9+K9</f>
        <v>0</v>
      </c>
      <c r="J9" s="833"/>
      <c r="K9" s="833"/>
      <c r="L9" s="833">
        <f>SUM(M9:P9)</f>
        <v>12000</v>
      </c>
      <c r="M9" s="833"/>
      <c r="N9" s="833"/>
      <c r="O9" s="833"/>
      <c r="P9" s="833">
        <v>12000</v>
      </c>
    </row>
    <row r="10" spans="1:16" ht="22.5" customHeight="1">
      <c r="A10" s="67"/>
      <c r="B10" s="269"/>
      <c r="C10" s="96" t="s">
        <v>230</v>
      </c>
      <c r="D10" s="97" t="s">
        <v>228</v>
      </c>
      <c r="E10" s="98">
        <v>53000</v>
      </c>
      <c r="F10" s="241">
        <v>53000</v>
      </c>
      <c r="G10" s="264">
        <f>I10+L10</f>
        <v>92500</v>
      </c>
      <c r="H10" s="248">
        <f>G10/F10</f>
        <v>1.7452830188679245</v>
      </c>
      <c r="I10" s="200">
        <f>J10+K10</f>
        <v>92500</v>
      </c>
      <c r="J10" s="200">
        <f>42500+50000</f>
        <v>92500</v>
      </c>
      <c r="K10" s="200"/>
      <c r="L10" s="200">
        <f>SUM(M10:P10)</f>
        <v>0</v>
      </c>
      <c r="M10" s="200"/>
      <c r="N10" s="200"/>
      <c r="O10" s="200"/>
      <c r="P10" s="200"/>
    </row>
    <row r="11" spans="1:16" ht="38.25">
      <c r="A11" s="67"/>
      <c r="B11" s="72"/>
      <c r="C11" s="74" t="s">
        <v>227</v>
      </c>
      <c r="D11" s="60" t="s">
        <v>228</v>
      </c>
      <c r="E11" s="82">
        <v>186200</v>
      </c>
      <c r="F11" s="240">
        <v>186200</v>
      </c>
      <c r="G11" s="263">
        <f>I11+L11</f>
        <v>250000</v>
      </c>
      <c r="H11" s="248">
        <f t="shared" si="2"/>
        <v>1.3426423200859292</v>
      </c>
      <c r="I11" s="81">
        <f>J11+K11</f>
        <v>250000</v>
      </c>
      <c r="J11" s="81">
        <f>250000</f>
        <v>250000</v>
      </c>
      <c r="K11" s="81"/>
      <c r="L11" s="81">
        <f>SUM(M11:P11)</f>
        <v>0</v>
      </c>
      <c r="M11" s="81"/>
      <c r="N11" s="81"/>
      <c r="O11" s="81"/>
      <c r="P11" s="81"/>
    </row>
    <row r="12" spans="1:16" ht="27" customHeight="1" thickBot="1">
      <c r="A12" s="65"/>
      <c r="B12" s="736"/>
      <c r="C12" s="736">
        <v>6298</v>
      </c>
      <c r="D12" s="737" t="s">
        <v>229</v>
      </c>
      <c r="E12" s="738">
        <v>3372082</v>
      </c>
      <c r="F12" s="739">
        <v>3372082</v>
      </c>
      <c r="G12" s="740">
        <f>I12+L12</f>
        <v>4250000</v>
      </c>
      <c r="H12" s="741">
        <f t="shared" si="2"/>
        <v>1.2603489476234564</v>
      </c>
      <c r="I12" s="738">
        <f>J12+K12</f>
        <v>4250000</v>
      </c>
      <c r="J12" s="738">
        <f>4250000+85000-85000</f>
        <v>4250000</v>
      </c>
      <c r="K12" s="738"/>
      <c r="L12" s="738">
        <f>SUM(M12:P12)</f>
        <v>0</v>
      </c>
      <c r="M12" s="738"/>
      <c r="N12" s="738"/>
      <c r="O12" s="738"/>
      <c r="P12" s="738"/>
    </row>
    <row r="13" spans="1:16" s="61" customFormat="1" ht="22.5" customHeight="1" thickBot="1" thickTop="1">
      <c r="A13" s="64"/>
      <c r="B13" s="729" t="s">
        <v>231</v>
      </c>
      <c r="C13" s="730"/>
      <c r="D13" s="731" t="s">
        <v>232</v>
      </c>
      <c r="E13" s="732">
        <f>E14</f>
        <v>1040300</v>
      </c>
      <c r="F13" s="733">
        <f>F14</f>
        <v>1040300</v>
      </c>
      <c r="G13" s="734">
        <f>G14</f>
        <v>726300</v>
      </c>
      <c r="H13" s="735">
        <f t="shared" si="2"/>
        <v>0.6981639911563972</v>
      </c>
      <c r="I13" s="732">
        <f>I14</f>
        <v>726300</v>
      </c>
      <c r="J13" s="732">
        <f>J14</f>
        <v>726300</v>
      </c>
      <c r="K13" s="732"/>
      <c r="L13" s="732">
        <f>L14</f>
        <v>0</v>
      </c>
      <c r="M13" s="732">
        <f>M14</f>
        <v>0</v>
      </c>
      <c r="N13" s="732">
        <f>N14</f>
        <v>0</v>
      </c>
      <c r="O13" s="732">
        <f>O14</f>
        <v>0</v>
      </c>
      <c r="P13" s="732">
        <f>P14</f>
        <v>0</v>
      </c>
    </row>
    <row r="14" spans="1:16" ht="39.75" thickBot="1" thickTop="1">
      <c r="A14" s="65"/>
      <c r="B14" s="742"/>
      <c r="C14" s="743" t="s">
        <v>230</v>
      </c>
      <c r="D14" s="744" t="s">
        <v>228</v>
      </c>
      <c r="E14" s="745">
        <v>1040300</v>
      </c>
      <c r="F14" s="746">
        <v>1040300</v>
      </c>
      <c r="G14" s="747">
        <f>I14+L14</f>
        <v>726300</v>
      </c>
      <c r="H14" s="748">
        <f t="shared" si="2"/>
        <v>0.6981639911563972</v>
      </c>
      <c r="I14" s="745">
        <f>J14</f>
        <v>726300</v>
      </c>
      <c r="J14" s="745">
        <f>190000-190000+400000+326300</f>
        <v>726300</v>
      </c>
      <c r="K14" s="745"/>
      <c r="L14" s="745"/>
      <c r="M14" s="745"/>
      <c r="N14" s="745"/>
      <c r="O14" s="745"/>
      <c r="P14" s="745"/>
    </row>
    <row r="15" spans="1:16" s="61" customFormat="1" ht="18.75" customHeight="1" thickBot="1" thickTop="1">
      <c r="A15" s="64"/>
      <c r="B15" s="729" t="s">
        <v>171</v>
      </c>
      <c r="C15" s="730"/>
      <c r="D15" s="730" t="s">
        <v>173</v>
      </c>
      <c r="E15" s="732">
        <f>SUM(E16:E17)</f>
        <v>92737</v>
      </c>
      <c r="F15" s="733">
        <f>SUM(F16:F17)</f>
        <v>55807</v>
      </c>
      <c r="G15" s="734">
        <f>SUM(G16:G17)</f>
        <v>24000</v>
      </c>
      <c r="H15" s="735">
        <f t="shared" si="2"/>
        <v>0.4300535775081979</v>
      </c>
      <c r="I15" s="732">
        <f aca="true" t="shared" si="3" ref="I15:P15">SUM(I16:I17)</f>
        <v>24000</v>
      </c>
      <c r="J15" s="732">
        <f t="shared" si="3"/>
        <v>0</v>
      </c>
      <c r="K15" s="732">
        <f t="shared" si="3"/>
        <v>24000</v>
      </c>
      <c r="L15" s="732">
        <f t="shared" si="3"/>
        <v>0</v>
      </c>
      <c r="M15" s="732">
        <f t="shared" si="3"/>
        <v>0</v>
      </c>
      <c r="N15" s="732">
        <f t="shared" si="3"/>
        <v>0</v>
      </c>
      <c r="O15" s="732">
        <f t="shared" si="3"/>
        <v>0</v>
      </c>
      <c r="P15" s="732">
        <f t="shared" si="3"/>
        <v>0</v>
      </c>
    </row>
    <row r="16" spans="1:16" ht="27" thickBot="1" thickTop="1">
      <c r="A16" s="67"/>
      <c r="B16" s="269"/>
      <c r="C16" s="274" t="s">
        <v>526</v>
      </c>
      <c r="D16" s="275" t="s">
        <v>676</v>
      </c>
      <c r="E16" s="98">
        <v>44000</v>
      </c>
      <c r="F16" s="241">
        <v>7070</v>
      </c>
      <c r="G16" s="264">
        <f>I16+L16</f>
        <v>24000</v>
      </c>
      <c r="H16" s="248">
        <f t="shared" si="2"/>
        <v>3.3946251768033946</v>
      </c>
      <c r="I16" s="200">
        <f>J16+K16</f>
        <v>24000</v>
      </c>
      <c r="J16" s="200"/>
      <c r="K16" s="200">
        <v>24000</v>
      </c>
      <c r="L16" s="200">
        <f>SUM(M16:P16)</f>
        <v>0</v>
      </c>
      <c r="M16" s="200"/>
      <c r="N16" s="200"/>
      <c r="O16" s="200"/>
      <c r="P16" s="200"/>
    </row>
    <row r="17" spans="1:16" ht="38.25" hidden="1">
      <c r="A17" s="67"/>
      <c r="B17" s="71"/>
      <c r="C17" s="75" t="s">
        <v>234</v>
      </c>
      <c r="D17" s="233" t="s">
        <v>235</v>
      </c>
      <c r="E17" s="81">
        <v>48737</v>
      </c>
      <c r="F17" s="245">
        <v>48737</v>
      </c>
      <c r="G17" s="267">
        <f>I17+L17</f>
        <v>0</v>
      </c>
      <c r="H17" s="249">
        <f t="shared" si="2"/>
        <v>0</v>
      </c>
      <c r="I17" s="81">
        <f>J17+K17</f>
        <v>0</v>
      </c>
      <c r="J17" s="81"/>
      <c r="K17" s="81"/>
      <c r="L17" s="81">
        <f>SUM(M17:P17)</f>
        <v>0</v>
      </c>
      <c r="M17" s="81"/>
      <c r="N17" s="81"/>
      <c r="O17" s="81"/>
      <c r="P17" s="81"/>
    </row>
    <row r="18" spans="1:16" s="62" customFormat="1" ht="21" customHeight="1" thickBot="1">
      <c r="A18" s="706" t="s">
        <v>350</v>
      </c>
      <c r="B18" s="693"/>
      <c r="C18" s="688"/>
      <c r="D18" s="688" t="s">
        <v>353</v>
      </c>
      <c r="E18" s="689">
        <f aca="true" t="shared" si="4" ref="E18:P19">E19</f>
        <v>2500</v>
      </c>
      <c r="F18" s="694">
        <f t="shared" si="4"/>
        <v>2509</v>
      </c>
      <c r="G18" s="690">
        <f t="shared" si="4"/>
        <v>2200</v>
      </c>
      <c r="H18" s="261">
        <f t="shared" si="2"/>
        <v>0.8768433638899961</v>
      </c>
      <c r="I18" s="689">
        <f t="shared" si="4"/>
        <v>0</v>
      </c>
      <c r="J18" s="689">
        <f t="shared" si="4"/>
        <v>0</v>
      </c>
      <c r="K18" s="689">
        <f t="shared" si="4"/>
        <v>0</v>
      </c>
      <c r="L18" s="689">
        <f t="shared" si="4"/>
        <v>2200</v>
      </c>
      <c r="M18" s="689">
        <f t="shared" si="4"/>
        <v>0</v>
      </c>
      <c r="N18" s="689">
        <f t="shared" si="4"/>
        <v>0</v>
      </c>
      <c r="O18" s="689">
        <f t="shared" si="4"/>
        <v>0</v>
      </c>
      <c r="P18" s="691">
        <f t="shared" si="4"/>
        <v>2200</v>
      </c>
    </row>
    <row r="19" spans="1:16" s="61" customFormat="1" ht="21.75" customHeight="1" thickBot="1">
      <c r="A19" s="180"/>
      <c r="B19" s="749" t="s">
        <v>351</v>
      </c>
      <c r="C19" s="750"/>
      <c r="D19" s="750" t="s">
        <v>352</v>
      </c>
      <c r="E19" s="751">
        <f>E20+E21</f>
        <v>2500</v>
      </c>
      <c r="F19" s="752">
        <f>F20+F21</f>
        <v>2509</v>
      </c>
      <c r="G19" s="753">
        <f>G20+G21</f>
        <v>2200</v>
      </c>
      <c r="H19" s="754">
        <f t="shared" si="2"/>
        <v>0.8768433638899961</v>
      </c>
      <c r="I19" s="751">
        <f t="shared" si="4"/>
        <v>0</v>
      </c>
      <c r="J19" s="751">
        <f t="shared" si="4"/>
        <v>0</v>
      </c>
      <c r="K19" s="751">
        <f t="shared" si="4"/>
        <v>0</v>
      </c>
      <c r="L19" s="751">
        <f t="shared" si="4"/>
        <v>2200</v>
      </c>
      <c r="M19" s="751">
        <f t="shared" si="4"/>
        <v>0</v>
      </c>
      <c r="N19" s="751">
        <f t="shared" si="4"/>
        <v>0</v>
      </c>
      <c r="O19" s="751">
        <f t="shared" si="4"/>
        <v>0</v>
      </c>
      <c r="P19" s="751">
        <f t="shared" si="4"/>
        <v>2200</v>
      </c>
    </row>
    <row r="20" spans="1:16" ht="52.5" thickBot="1" thickTop="1">
      <c r="A20" s="67"/>
      <c r="B20" s="269"/>
      <c r="C20" s="274" t="s">
        <v>185</v>
      </c>
      <c r="D20" s="277" t="s">
        <v>186</v>
      </c>
      <c r="E20" s="98">
        <v>2100</v>
      </c>
      <c r="F20" s="241">
        <v>2234</v>
      </c>
      <c r="G20" s="264">
        <f>I20+L20</f>
        <v>2200</v>
      </c>
      <c r="H20" s="248">
        <f t="shared" si="2"/>
        <v>0.9847806624888094</v>
      </c>
      <c r="I20" s="200">
        <f>J20+K20</f>
        <v>0</v>
      </c>
      <c r="J20" s="200"/>
      <c r="K20" s="200"/>
      <c r="L20" s="200">
        <f>SUM(M20:P20)</f>
        <v>2200</v>
      </c>
      <c r="M20" s="200"/>
      <c r="N20" s="200"/>
      <c r="O20" s="200"/>
      <c r="P20" s="200">
        <v>2200</v>
      </c>
    </row>
    <row r="21" spans="1:16" ht="18.75" customHeight="1" hidden="1">
      <c r="A21" s="67"/>
      <c r="B21" s="71"/>
      <c r="C21" s="75" t="s">
        <v>177</v>
      </c>
      <c r="D21" s="45" t="s">
        <v>178</v>
      </c>
      <c r="E21" s="81">
        <v>400</v>
      </c>
      <c r="F21" s="245">
        <v>275</v>
      </c>
      <c r="G21" s="267">
        <f>I21+L21</f>
        <v>0</v>
      </c>
      <c r="H21" s="249">
        <f t="shared" si="2"/>
        <v>0</v>
      </c>
      <c r="I21" s="81">
        <f>J21+K21</f>
        <v>0</v>
      </c>
      <c r="J21" s="81"/>
      <c r="K21" s="81"/>
      <c r="L21" s="81">
        <f>SUM(M21:P21)</f>
        <v>0</v>
      </c>
      <c r="M21" s="81"/>
      <c r="N21" s="81"/>
      <c r="O21" s="81"/>
      <c r="P21" s="81"/>
    </row>
    <row r="22" spans="1:16" s="62" customFormat="1" ht="38.25" customHeight="1" thickBot="1">
      <c r="A22" s="698">
        <v>400</v>
      </c>
      <c r="B22" s="704"/>
      <c r="C22" s="688"/>
      <c r="D22" s="705" t="s">
        <v>175</v>
      </c>
      <c r="E22" s="689">
        <f aca="true" t="shared" si="5" ref="E22:P23">E23</f>
        <v>975120</v>
      </c>
      <c r="F22" s="694">
        <f t="shared" si="5"/>
        <v>460000</v>
      </c>
      <c r="G22" s="690">
        <f t="shared" si="5"/>
        <v>835000</v>
      </c>
      <c r="H22" s="261">
        <f t="shared" si="2"/>
        <v>1.815217391304348</v>
      </c>
      <c r="I22" s="689">
        <f t="shared" si="5"/>
        <v>0</v>
      </c>
      <c r="J22" s="689">
        <f t="shared" si="5"/>
        <v>0</v>
      </c>
      <c r="K22" s="689">
        <f t="shared" si="5"/>
        <v>0</v>
      </c>
      <c r="L22" s="689">
        <f t="shared" si="5"/>
        <v>835000</v>
      </c>
      <c r="M22" s="689">
        <f t="shared" si="5"/>
        <v>0</v>
      </c>
      <c r="N22" s="689">
        <f t="shared" si="5"/>
        <v>0</v>
      </c>
      <c r="O22" s="689">
        <f t="shared" si="5"/>
        <v>0</v>
      </c>
      <c r="P22" s="691">
        <f t="shared" si="5"/>
        <v>835000</v>
      </c>
    </row>
    <row r="23" spans="1:16" s="61" customFormat="1" ht="18.75" customHeight="1" thickBot="1">
      <c r="A23" s="93"/>
      <c r="B23" s="750">
        <v>40002</v>
      </c>
      <c r="C23" s="750"/>
      <c r="D23" s="750" t="s">
        <v>176</v>
      </c>
      <c r="E23" s="751">
        <f t="shared" si="5"/>
        <v>975120</v>
      </c>
      <c r="F23" s="752">
        <f t="shared" si="5"/>
        <v>460000</v>
      </c>
      <c r="G23" s="753">
        <f t="shared" si="5"/>
        <v>835000</v>
      </c>
      <c r="H23" s="754">
        <f t="shared" si="2"/>
        <v>1.815217391304348</v>
      </c>
      <c r="I23" s="751">
        <f t="shared" si="5"/>
        <v>0</v>
      </c>
      <c r="J23" s="751">
        <f t="shared" si="5"/>
        <v>0</v>
      </c>
      <c r="K23" s="751">
        <f t="shared" si="5"/>
        <v>0</v>
      </c>
      <c r="L23" s="751">
        <f t="shared" si="5"/>
        <v>835000</v>
      </c>
      <c r="M23" s="751">
        <f t="shared" si="5"/>
        <v>0</v>
      </c>
      <c r="N23" s="751">
        <f t="shared" si="5"/>
        <v>0</v>
      </c>
      <c r="O23" s="751">
        <f t="shared" si="5"/>
        <v>0</v>
      </c>
      <c r="P23" s="751">
        <f t="shared" si="5"/>
        <v>835000</v>
      </c>
    </row>
    <row r="24" spans="1:16" ht="23.25" customHeight="1" thickBot="1" thickTop="1">
      <c r="A24" s="67"/>
      <c r="B24" s="269"/>
      <c r="C24" s="274" t="s">
        <v>177</v>
      </c>
      <c r="D24" s="270" t="s">
        <v>178</v>
      </c>
      <c r="E24" s="200">
        <v>975120</v>
      </c>
      <c r="F24" s="246">
        <v>460000</v>
      </c>
      <c r="G24" s="266">
        <f>I24+L24</f>
        <v>835000</v>
      </c>
      <c r="H24" s="249">
        <f t="shared" si="2"/>
        <v>1.815217391304348</v>
      </c>
      <c r="I24" s="200">
        <f>J24+K24</f>
        <v>0</v>
      </c>
      <c r="J24" s="200"/>
      <c r="K24" s="200"/>
      <c r="L24" s="200">
        <f>SUM(M24:P24)</f>
        <v>835000</v>
      </c>
      <c r="M24" s="200"/>
      <c r="N24" s="200"/>
      <c r="O24" s="200"/>
      <c r="P24" s="200">
        <f>800000+30000+5000</f>
        <v>835000</v>
      </c>
    </row>
    <row r="25" spans="1:16" s="62" customFormat="1" ht="21" customHeight="1" thickBot="1">
      <c r="A25" s="698">
        <v>600</v>
      </c>
      <c r="B25" s="704"/>
      <c r="C25" s="688"/>
      <c r="D25" s="688" t="s">
        <v>287</v>
      </c>
      <c r="E25" s="689">
        <f>E26</f>
        <v>150000</v>
      </c>
      <c r="F25" s="694">
        <f>F26</f>
        <v>150000</v>
      </c>
      <c r="G25" s="690">
        <f>G26</f>
        <v>262140</v>
      </c>
      <c r="H25" s="261">
        <f t="shared" si="2"/>
        <v>1.7476</v>
      </c>
      <c r="I25" s="689">
        <f>I26+I30</f>
        <v>225000</v>
      </c>
      <c r="J25" s="689">
        <f aca="true" t="shared" si="6" ref="J25:P25">J26+J30</f>
        <v>225000</v>
      </c>
      <c r="K25" s="689">
        <f t="shared" si="6"/>
        <v>0</v>
      </c>
      <c r="L25" s="689">
        <f t="shared" si="6"/>
        <v>37140</v>
      </c>
      <c r="M25" s="689">
        <f t="shared" si="6"/>
        <v>0</v>
      </c>
      <c r="N25" s="689">
        <f t="shared" si="6"/>
        <v>37140</v>
      </c>
      <c r="O25" s="689">
        <f t="shared" si="6"/>
        <v>0</v>
      </c>
      <c r="P25" s="689">
        <f t="shared" si="6"/>
        <v>0</v>
      </c>
    </row>
    <row r="26" spans="1:16" s="61" customFormat="1" ht="18.75" customHeight="1" thickBot="1">
      <c r="A26" s="333"/>
      <c r="B26" s="750">
        <v>60014</v>
      </c>
      <c r="C26" s="750"/>
      <c r="D26" s="750" t="s">
        <v>383</v>
      </c>
      <c r="E26" s="751">
        <f>E31</f>
        <v>150000</v>
      </c>
      <c r="F26" s="752">
        <f>F31</f>
        <v>150000</v>
      </c>
      <c r="G26" s="753">
        <f>G31+G27</f>
        <v>262140</v>
      </c>
      <c r="H26" s="753">
        <f>H31+H27</f>
        <v>1.7476</v>
      </c>
      <c r="I26" s="1130">
        <f>I27</f>
        <v>0</v>
      </c>
      <c r="J26" s="1130">
        <f>J27</f>
        <v>0</v>
      </c>
      <c r="K26" s="1130">
        <f>K27</f>
        <v>0</v>
      </c>
      <c r="L26" s="1130">
        <f>L27</f>
        <v>37140</v>
      </c>
      <c r="M26" s="1130">
        <f>M27</f>
        <v>0</v>
      </c>
      <c r="N26" s="1130">
        <f>N27</f>
        <v>37140</v>
      </c>
      <c r="O26" s="1130">
        <f>O27</f>
        <v>0</v>
      </c>
      <c r="P26" s="1130">
        <f>P27</f>
        <v>0</v>
      </c>
    </row>
    <row r="27" spans="1:16" ht="39" thickTop="1">
      <c r="A27" s="599"/>
      <c r="B27" s="837"/>
      <c r="C27" s="220" t="s">
        <v>674</v>
      </c>
      <c r="D27" s="279" t="s">
        <v>675</v>
      </c>
      <c r="E27" s="188">
        <v>150000</v>
      </c>
      <c r="F27" s="244">
        <v>150000</v>
      </c>
      <c r="G27" s="280">
        <f>I27+L27</f>
        <v>37140</v>
      </c>
      <c r="H27" s="281">
        <f>G27/F27</f>
        <v>0.2476</v>
      </c>
      <c r="I27" s="188">
        <f>J27+K27</f>
        <v>0</v>
      </c>
      <c r="J27" s="188"/>
      <c r="K27" s="188"/>
      <c r="L27" s="188">
        <f>SUM(M27:P27)</f>
        <v>37140</v>
      </c>
      <c r="M27" s="188"/>
      <c r="N27" s="188">
        <v>37140</v>
      </c>
      <c r="O27" s="188"/>
      <c r="P27" s="188"/>
    </row>
    <row r="28" spans="1:16" ht="9.75" customHeight="1">
      <c r="A28" s="85"/>
      <c r="B28" s="4"/>
      <c r="C28" s="79"/>
      <c r="D28" s="5"/>
      <c r="E28" s="92"/>
      <c r="F28" s="92"/>
      <c r="G28" s="285"/>
      <c r="H28" s="138"/>
      <c r="I28" s="92"/>
      <c r="J28" s="92"/>
      <c r="K28" s="92"/>
      <c r="L28" s="92"/>
      <c r="M28" s="92"/>
      <c r="N28" s="92"/>
      <c r="O28" s="92"/>
      <c r="P28" s="92"/>
    </row>
    <row r="29" spans="1:16" s="46" customFormat="1" ht="8.25">
      <c r="A29" s="86">
        <v>1</v>
      </c>
      <c r="B29" s="86">
        <v>2</v>
      </c>
      <c r="C29" s="86">
        <v>3</v>
      </c>
      <c r="D29" s="86">
        <v>4</v>
      </c>
      <c r="E29" s="86">
        <v>5</v>
      </c>
      <c r="F29" s="243">
        <v>6</v>
      </c>
      <c r="G29" s="284">
        <v>5</v>
      </c>
      <c r="H29" s="251">
        <v>8</v>
      </c>
      <c r="I29" s="86">
        <v>6</v>
      </c>
      <c r="J29" s="86">
        <v>7</v>
      </c>
      <c r="K29" s="86">
        <v>8</v>
      </c>
      <c r="L29" s="86">
        <v>9</v>
      </c>
      <c r="M29" s="86">
        <v>10</v>
      </c>
      <c r="N29" s="86">
        <v>11</v>
      </c>
      <c r="O29" s="86">
        <v>12</v>
      </c>
      <c r="P29" s="86">
        <v>13</v>
      </c>
    </row>
    <row r="30" spans="1:16" s="61" customFormat="1" ht="18.75" customHeight="1" thickBot="1">
      <c r="A30" s="333"/>
      <c r="B30" s="730">
        <v>60014</v>
      </c>
      <c r="C30" s="730"/>
      <c r="D30" s="730" t="s">
        <v>289</v>
      </c>
      <c r="E30" s="732">
        <f>E35</f>
        <v>88</v>
      </c>
      <c r="F30" s="733">
        <f>F35</f>
        <v>97</v>
      </c>
      <c r="G30" s="734">
        <f>G31</f>
        <v>225000</v>
      </c>
      <c r="H30" s="734">
        <f>H35+H31</f>
        <v>2.5309278350515463</v>
      </c>
      <c r="I30" s="1131">
        <f>I31</f>
        <v>225000</v>
      </c>
      <c r="J30" s="1131">
        <f aca="true" t="shared" si="7" ref="J30:P30">J31</f>
        <v>225000</v>
      </c>
      <c r="K30" s="1131">
        <f t="shared" si="7"/>
        <v>0</v>
      </c>
      <c r="L30" s="1131">
        <f t="shared" si="7"/>
        <v>0</v>
      </c>
      <c r="M30" s="1131">
        <f t="shared" si="7"/>
        <v>0</v>
      </c>
      <c r="N30" s="1131">
        <f t="shared" si="7"/>
        <v>0</v>
      </c>
      <c r="O30" s="1131">
        <f t="shared" si="7"/>
        <v>0</v>
      </c>
      <c r="P30" s="1131">
        <f t="shared" si="7"/>
        <v>0</v>
      </c>
    </row>
    <row r="31" spans="1:16" ht="30.75" customHeight="1" thickBot="1" thickTop="1">
      <c r="A31" s="599"/>
      <c r="B31" s="686"/>
      <c r="C31" s="201" t="s">
        <v>405</v>
      </c>
      <c r="D31" s="600" t="s">
        <v>253</v>
      </c>
      <c r="E31" s="111">
        <v>150000</v>
      </c>
      <c r="F31" s="288">
        <v>150000</v>
      </c>
      <c r="G31" s="262">
        <f>I31+L31</f>
        <v>225000</v>
      </c>
      <c r="H31" s="247">
        <f t="shared" si="2"/>
        <v>1.5</v>
      </c>
      <c r="I31" s="111">
        <f>J31+K31</f>
        <v>225000</v>
      </c>
      <c r="J31" s="111">
        <f>10000+225000+83000+5000-83000-5000-10000</f>
        <v>225000</v>
      </c>
      <c r="K31" s="111"/>
      <c r="L31" s="111">
        <f>SUM(M31:P31)</f>
        <v>0</v>
      </c>
      <c r="M31" s="111"/>
      <c r="N31" s="111"/>
      <c r="O31" s="111"/>
      <c r="P31" s="111"/>
    </row>
    <row r="32" spans="1:17" s="62" customFormat="1" ht="24" customHeight="1" thickBot="1">
      <c r="A32" s="698">
        <v>700</v>
      </c>
      <c r="B32" s="704"/>
      <c r="C32" s="688"/>
      <c r="D32" s="688" t="s">
        <v>179</v>
      </c>
      <c r="E32" s="689">
        <f aca="true" t="shared" si="8" ref="E32:P32">E33</f>
        <v>628480</v>
      </c>
      <c r="F32" s="694">
        <f t="shared" si="8"/>
        <v>628289</v>
      </c>
      <c r="G32" s="690">
        <f t="shared" si="8"/>
        <v>1879370</v>
      </c>
      <c r="H32" s="261">
        <f t="shared" si="2"/>
        <v>2.9912508415713153</v>
      </c>
      <c r="I32" s="689">
        <f t="shared" si="8"/>
        <v>1852182</v>
      </c>
      <c r="J32" s="689">
        <f t="shared" si="8"/>
        <v>0</v>
      </c>
      <c r="K32" s="689">
        <f t="shared" si="8"/>
        <v>1852182</v>
      </c>
      <c r="L32" s="689">
        <f t="shared" si="8"/>
        <v>27188</v>
      </c>
      <c r="M32" s="689">
        <f t="shared" si="8"/>
        <v>0</v>
      </c>
      <c r="N32" s="689">
        <f t="shared" si="8"/>
        <v>0</v>
      </c>
      <c r="O32" s="689">
        <f t="shared" si="8"/>
        <v>0</v>
      </c>
      <c r="P32" s="691">
        <f t="shared" si="8"/>
        <v>27188</v>
      </c>
      <c r="Q32" s="183"/>
    </row>
    <row r="33" spans="1:16" s="61" customFormat="1" ht="27" customHeight="1" thickBot="1">
      <c r="A33" s="182"/>
      <c r="B33" s="750">
        <v>70005</v>
      </c>
      <c r="C33" s="750"/>
      <c r="D33" s="755" t="s">
        <v>180</v>
      </c>
      <c r="E33" s="751">
        <f>SUM(E34:E38)</f>
        <v>628480</v>
      </c>
      <c r="F33" s="751">
        <f>SUM(F34:F38)</f>
        <v>628289</v>
      </c>
      <c r="G33" s="753">
        <f>SUM(G34:G38)</f>
        <v>1879370</v>
      </c>
      <c r="H33" s="754">
        <f t="shared" si="2"/>
        <v>2.9912508415713153</v>
      </c>
      <c r="I33" s="751">
        <f aca="true" t="shared" si="9" ref="I33:P33">SUM(I34:I38)</f>
        <v>1852182</v>
      </c>
      <c r="J33" s="751">
        <f t="shared" si="9"/>
        <v>0</v>
      </c>
      <c r="K33" s="751">
        <f t="shared" si="9"/>
        <v>1852182</v>
      </c>
      <c r="L33" s="751">
        <f t="shared" si="9"/>
        <v>27188</v>
      </c>
      <c r="M33" s="751">
        <f t="shared" si="9"/>
        <v>0</v>
      </c>
      <c r="N33" s="751">
        <f t="shared" si="9"/>
        <v>0</v>
      </c>
      <c r="O33" s="751">
        <f t="shared" si="9"/>
        <v>0</v>
      </c>
      <c r="P33" s="751">
        <f t="shared" si="9"/>
        <v>27188</v>
      </c>
    </row>
    <row r="34" spans="1:16" ht="26.25" thickTop="1">
      <c r="A34" s="65"/>
      <c r="B34" s="219"/>
      <c r="C34" s="96" t="s">
        <v>181</v>
      </c>
      <c r="D34" s="97" t="s">
        <v>182</v>
      </c>
      <c r="E34" s="98">
        <v>6120</v>
      </c>
      <c r="F34" s="241">
        <v>6120</v>
      </c>
      <c r="G34" s="264">
        <f>I34+L34</f>
        <v>6120</v>
      </c>
      <c r="H34" s="248">
        <f t="shared" si="2"/>
        <v>1</v>
      </c>
      <c r="I34" s="98">
        <f>J34+K34</f>
        <v>0</v>
      </c>
      <c r="J34" s="98"/>
      <c r="K34" s="98"/>
      <c r="L34" s="98">
        <f>SUM(M34:P34)</f>
        <v>6120</v>
      </c>
      <c r="M34" s="98"/>
      <c r="N34" s="98"/>
      <c r="O34" s="98"/>
      <c r="P34" s="98">
        <v>6120</v>
      </c>
    </row>
    <row r="35" spans="1:16" ht="15.75" customHeight="1">
      <c r="A35" s="94"/>
      <c r="B35" s="219"/>
      <c r="C35" s="96" t="s">
        <v>183</v>
      </c>
      <c r="D35" s="116" t="s">
        <v>184</v>
      </c>
      <c r="E35" s="98">
        <v>88</v>
      </c>
      <c r="F35" s="241">
        <v>97</v>
      </c>
      <c r="G35" s="264">
        <f>I35+L35</f>
        <v>100</v>
      </c>
      <c r="H35" s="248">
        <f t="shared" si="2"/>
        <v>1.0309278350515463</v>
      </c>
      <c r="I35" s="98">
        <f>J35+K35</f>
        <v>0</v>
      </c>
      <c r="J35" s="98"/>
      <c r="K35" s="98"/>
      <c r="L35" s="200">
        <f>SUM(M35:P35)</f>
        <v>100</v>
      </c>
      <c r="M35" s="98"/>
      <c r="N35" s="98"/>
      <c r="O35" s="98"/>
      <c r="P35" s="98">
        <v>100</v>
      </c>
    </row>
    <row r="36" spans="1:16" ht="51">
      <c r="A36" s="65"/>
      <c r="B36" s="70"/>
      <c r="C36" s="74" t="s">
        <v>185</v>
      </c>
      <c r="D36" s="60" t="s">
        <v>186</v>
      </c>
      <c r="E36" s="82">
        <v>18472</v>
      </c>
      <c r="F36" s="240">
        <v>18472</v>
      </c>
      <c r="G36" s="263">
        <f>I36+L36</f>
        <v>20968</v>
      </c>
      <c r="H36" s="248">
        <f t="shared" si="2"/>
        <v>1.1351234300563013</v>
      </c>
      <c r="I36" s="81">
        <f>J36+K36</f>
        <v>0</v>
      </c>
      <c r="J36" s="82"/>
      <c r="K36" s="82"/>
      <c r="L36" s="81">
        <f>SUM(M36:P36)</f>
        <v>20968</v>
      </c>
      <c r="M36" s="82"/>
      <c r="N36" s="82"/>
      <c r="O36" s="82"/>
      <c r="P36" s="82">
        <v>20968</v>
      </c>
    </row>
    <row r="37" spans="1:16" ht="26.25" thickBot="1">
      <c r="A37" s="67"/>
      <c r="B37" s="71"/>
      <c r="C37" s="274" t="s">
        <v>526</v>
      </c>
      <c r="D37" s="275" t="s">
        <v>676</v>
      </c>
      <c r="E37" s="82">
        <v>603600</v>
      </c>
      <c r="F37" s="240">
        <v>603600</v>
      </c>
      <c r="G37" s="263">
        <f>I37+L37</f>
        <v>1852182</v>
      </c>
      <c r="H37" s="248">
        <f t="shared" si="2"/>
        <v>3.068558648111332</v>
      </c>
      <c r="I37" s="81">
        <f>J37+K37</f>
        <v>1852182</v>
      </c>
      <c r="J37" s="81"/>
      <c r="K37" s="81">
        <f>129472+75000+1477710+170000</f>
        <v>1852182</v>
      </c>
      <c r="L37" s="81">
        <f>SUM(M37:P37)</f>
        <v>0</v>
      </c>
      <c r="M37" s="81"/>
      <c r="N37" s="81"/>
      <c r="O37" s="81"/>
      <c r="P37" s="81"/>
    </row>
    <row r="38" spans="1:16" ht="18" customHeight="1" hidden="1">
      <c r="A38" s="67"/>
      <c r="B38" s="71"/>
      <c r="C38" s="75" t="s">
        <v>187</v>
      </c>
      <c r="D38" s="45" t="s">
        <v>188</v>
      </c>
      <c r="E38" s="81">
        <v>200</v>
      </c>
      <c r="F38" s="245">
        <v>0</v>
      </c>
      <c r="G38" s="267">
        <f>I38+L38</f>
        <v>0</v>
      </c>
      <c r="H38" s="282"/>
      <c r="I38" s="81">
        <f>J38+K38</f>
        <v>0</v>
      </c>
      <c r="J38" s="81"/>
      <c r="K38" s="81"/>
      <c r="L38" s="81">
        <f>SUM(M38:P38)</f>
        <v>0</v>
      </c>
      <c r="M38" s="81"/>
      <c r="N38" s="81"/>
      <c r="O38" s="81"/>
      <c r="P38" s="81"/>
    </row>
    <row r="39" spans="1:16" s="62" customFormat="1" ht="27.75" customHeight="1" thickBot="1">
      <c r="A39" s="698">
        <v>750</v>
      </c>
      <c r="B39" s="704"/>
      <c r="C39" s="688"/>
      <c r="D39" s="688" t="s">
        <v>189</v>
      </c>
      <c r="E39" s="689">
        <f aca="true" t="shared" si="10" ref="E39:P39">E43+E40</f>
        <v>86133</v>
      </c>
      <c r="F39" s="694">
        <f>F43+F40</f>
        <v>85733</v>
      </c>
      <c r="G39" s="690">
        <f t="shared" si="10"/>
        <v>73478</v>
      </c>
      <c r="H39" s="261">
        <f t="shared" si="2"/>
        <v>0.8570562093942823</v>
      </c>
      <c r="I39" s="689">
        <f t="shared" si="10"/>
        <v>0</v>
      </c>
      <c r="J39" s="689">
        <f t="shared" si="10"/>
        <v>0</v>
      </c>
      <c r="K39" s="689">
        <f t="shared" si="10"/>
        <v>0</v>
      </c>
      <c r="L39" s="689">
        <f t="shared" si="10"/>
        <v>73478</v>
      </c>
      <c r="M39" s="689">
        <f t="shared" si="10"/>
        <v>0</v>
      </c>
      <c r="N39" s="689">
        <f t="shared" si="10"/>
        <v>0</v>
      </c>
      <c r="O39" s="689">
        <f>O43+O40</f>
        <v>66678</v>
      </c>
      <c r="P39" s="691">
        <f t="shared" si="10"/>
        <v>6800</v>
      </c>
    </row>
    <row r="40" spans="1:16" s="61" customFormat="1" ht="21" customHeight="1" thickBot="1">
      <c r="A40" s="182"/>
      <c r="B40" s="750">
        <v>75011</v>
      </c>
      <c r="C40" s="750"/>
      <c r="D40" s="750" t="s">
        <v>233</v>
      </c>
      <c r="E40" s="751">
        <f aca="true" t="shared" si="11" ref="E40:P40">SUM(E41:E42)</f>
        <v>70133</v>
      </c>
      <c r="F40" s="752">
        <f>SUM(F41:F42)</f>
        <v>70433</v>
      </c>
      <c r="G40" s="753">
        <f t="shared" si="11"/>
        <v>67478</v>
      </c>
      <c r="H40" s="754">
        <f t="shared" si="2"/>
        <v>0.9580452344781566</v>
      </c>
      <c r="I40" s="751">
        <f t="shared" si="11"/>
        <v>0</v>
      </c>
      <c r="J40" s="751">
        <f t="shared" si="11"/>
        <v>0</v>
      </c>
      <c r="K40" s="751">
        <f t="shared" si="11"/>
        <v>0</v>
      </c>
      <c r="L40" s="751">
        <f t="shared" si="11"/>
        <v>67478</v>
      </c>
      <c r="M40" s="751">
        <f t="shared" si="11"/>
        <v>0</v>
      </c>
      <c r="N40" s="751">
        <f t="shared" si="11"/>
        <v>0</v>
      </c>
      <c r="O40" s="751">
        <f>SUM(O41:O42)</f>
        <v>66678</v>
      </c>
      <c r="P40" s="751">
        <f t="shared" si="11"/>
        <v>800</v>
      </c>
    </row>
    <row r="41" spans="1:16" ht="39" customHeight="1" thickTop="1">
      <c r="A41" s="65"/>
      <c r="B41" s="95"/>
      <c r="C41" s="96" t="s">
        <v>234</v>
      </c>
      <c r="D41" s="276" t="s">
        <v>235</v>
      </c>
      <c r="E41" s="98">
        <f>66233+2400</f>
        <v>68633</v>
      </c>
      <c r="F41" s="241">
        <f>E41</f>
        <v>68633</v>
      </c>
      <c r="G41" s="264">
        <f>I41+L41</f>
        <v>66678</v>
      </c>
      <c r="H41" s="248">
        <f t="shared" si="2"/>
        <v>0.9715151603456064</v>
      </c>
      <c r="I41" s="200">
        <f>J41+K41</f>
        <v>0</v>
      </c>
      <c r="J41" s="98"/>
      <c r="K41" s="98"/>
      <c r="L41" s="200">
        <f>SUM(M41:P41)</f>
        <v>66678</v>
      </c>
      <c r="M41" s="98"/>
      <c r="N41" s="98"/>
      <c r="O41" s="98">
        <v>66678</v>
      </c>
      <c r="P41" s="98"/>
    </row>
    <row r="42" spans="1:16" ht="39" thickBot="1">
      <c r="A42" s="67"/>
      <c r="B42" s="736"/>
      <c r="C42" s="756" t="s">
        <v>242</v>
      </c>
      <c r="D42" s="737" t="s">
        <v>243</v>
      </c>
      <c r="E42" s="738">
        <v>1500</v>
      </c>
      <c r="F42" s="739">
        <v>1800</v>
      </c>
      <c r="G42" s="740">
        <f>I42+L42</f>
        <v>800</v>
      </c>
      <c r="H42" s="741">
        <f t="shared" si="2"/>
        <v>0.4444444444444444</v>
      </c>
      <c r="I42" s="738">
        <f>J42+K42</f>
        <v>0</v>
      </c>
      <c r="J42" s="738"/>
      <c r="K42" s="738"/>
      <c r="L42" s="738">
        <f>SUM(M42:P42)</f>
        <v>800</v>
      </c>
      <c r="M42" s="738"/>
      <c r="N42" s="738"/>
      <c r="O42" s="738"/>
      <c r="P42" s="738">
        <v>800</v>
      </c>
    </row>
    <row r="43" spans="1:16" s="61" customFormat="1" ht="21.75" customHeight="1" thickBot="1" thickTop="1">
      <c r="A43" s="68"/>
      <c r="B43" s="730">
        <v>75023</v>
      </c>
      <c r="C43" s="730"/>
      <c r="D43" s="730" t="s">
        <v>190</v>
      </c>
      <c r="E43" s="732">
        <f>SUM(E44:E46)</f>
        <v>16000</v>
      </c>
      <c r="F43" s="733">
        <f>SUM(F44:F46)</f>
        <v>15300</v>
      </c>
      <c r="G43" s="734">
        <f>SUM(G44:G46)</f>
        <v>6000</v>
      </c>
      <c r="H43" s="735">
        <f t="shared" si="2"/>
        <v>0.39215686274509803</v>
      </c>
      <c r="I43" s="732">
        <f aca="true" t="shared" si="12" ref="I43:P43">SUM(I44:I46)</f>
        <v>0</v>
      </c>
      <c r="J43" s="732">
        <f t="shared" si="12"/>
        <v>0</v>
      </c>
      <c r="K43" s="732">
        <f t="shared" si="12"/>
        <v>0</v>
      </c>
      <c r="L43" s="732">
        <f t="shared" si="12"/>
        <v>6000</v>
      </c>
      <c r="M43" s="732">
        <f t="shared" si="12"/>
        <v>0</v>
      </c>
      <c r="N43" s="732">
        <f t="shared" si="12"/>
        <v>0</v>
      </c>
      <c r="O43" s="732">
        <f t="shared" si="12"/>
        <v>0</v>
      </c>
      <c r="P43" s="732">
        <f t="shared" si="12"/>
        <v>6000</v>
      </c>
    </row>
    <row r="44" spans="1:16" ht="16.5" customHeight="1" thickTop="1">
      <c r="A44" s="65"/>
      <c r="B44" s="95"/>
      <c r="C44" s="96" t="s">
        <v>187</v>
      </c>
      <c r="D44" s="270" t="s">
        <v>188</v>
      </c>
      <c r="E44" s="98">
        <v>9000</v>
      </c>
      <c r="F44" s="241">
        <f>E44</f>
        <v>9000</v>
      </c>
      <c r="G44" s="264">
        <f>I44+L44</f>
        <v>1200</v>
      </c>
      <c r="H44" s="248">
        <f t="shared" si="2"/>
        <v>0.13333333333333333</v>
      </c>
      <c r="I44" s="98"/>
      <c r="J44" s="98"/>
      <c r="K44" s="98"/>
      <c r="L44" s="200">
        <f>SUM(M44:P44)</f>
        <v>1200</v>
      </c>
      <c r="M44" s="98"/>
      <c r="N44" s="98"/>
      <c r="O44" s="98"/>
      <c r="P44" s="98">
        <v>1200</v>
      </c>
    </row>
    <row r="45" spans="1:16" ht="21.75" customHeight="1">
      <c r="A45" s="67"/>
      <c r="B45" s="72"/>
      <c r="C45" s="74" t="s">
        <v>191</v>
      </c>
      <c r="D45" s="59" t="s">
        <v>192</v>
      </c>
      <c r="E45" s="82">
        <v>3000</v>
      </c>
      <c r="F45" s="240">
        <v>4300</v>
      </c>
      <c r="G45" s="263">
        <f>I45+L45</f>
        <v>4500</v>
      </c>
      <c r="H45" s="248">
        <f t="shared" si="2"/>
        <v>1.0465116279069768</v>
      </c>
      <c r="I45" s="81">
        <f>J45+K45</f>
        <v>0</v>
      </c>
      <c r="J45" s="81"/>
      <c r="K45" s="81"/>
      <c r="L45" s="81">
        <f>SUM(M45:P45)</f>
        <v>4500</v>
      </c>
      <c r="M45" s="81"/>
      <c r="N45" s="81"/>
      <c r="O45" s="81"/>
      <c r="P45" s="81">
        <v>4500</v>
      </c>
    </row>
    <row r="46" spans="1:16" ht="16.5" customHeight="1" thickBot="1">
      <c r="A46" s="67"/>
      <c r="B46" s="72"/>
      <c r="C46" s="75" t="s">
        <v>177</v>
      </c>
      <c r="D46" s="45" t="s">
        <v>178</v>
      </c>
      <c r="E46" s="81">
        <v>4000</v>
      </c>
      <c r="F46" s="245">
        <v>2000</v>
      </c>
      <c r="G46" s="267">
        <f>I46+L46</f>
        <v>300</v>
      </c>
      <c r="H46" s="249">
        <f t="shared" si="2"/>
        <v>0.15</v>
      </c>
      <c r="I46" s="81">
        <f>J46+K46</f>
        <v>0</v>
      </c>
      <c r="J46" s="81"/>
      <c r="K46" s="81"/>
      <c r="L46" s="81">
        <f>SUM(M46:P46)</f>
        <v>300</v>
      </c>
      <c r="M46" s="81"/>
      <c r="N46" s="81"/>
      <c r="O46" s="81"/>
      <c r="P46" s="81">
        <v>300</v>
      </c>
    </row>
    <row r="47" spans="1:16" s="62" customFormat="1" ht="72.75" thickBot="1">
      <c r="A47" s="698">
        <v>751</v>
      </c>
      <c r="B47" s="704"/>
      <c r="C47" s="688"/>
      <c r="D47" s="705" t="s">
        <v>236</v>
      </c>
      <c r="E47" s="689">
        <f>E48+E54+E50</f>
        <v>25375</v>
      </c>
      <c r="F47" s="694">
        <f>F48+F54+F50</f>
        <v>25375</v>
      </c>
      <c r="G47" s="690">
        <f>G48+G54+G50</f>
        <v>1020</v>
      </c>
      <c r="H47" s="261">
        <f t="shared" si="2"/>
        <v>0.04019704433497537</v>
      </c>
      <c r="I47" s="689">
        <f aca="true" t="shared" si="13" ref="I47:P47">I48+I54</f>
        <v>0</v>
      </c>
      <c r="J47" s="689">
        <f t="shared" si="13"/>
        <v>0</v>
      </c>
      <c r="K47" s="689">
        <f t="shared" si="13"/>
        <v>0</v>
      </c>
      <c r="L47" s="689">
        <f t="shared" si="13"/>
        <v>1020</v>
      </c>
      <c r="M47" s="689">
        <f t="shared" si="13"/>
        <v>0</v>
      </c>
      <c r="N47" s="689">
        <f t="shared" si="13"/>
        <v>0</v>
      </c>
      <c r="O47" s="689">
        <f t="shared" si="13"/>
        <v>1020</v>
      </c>
      <c r="P47" s="691">
        <f t="shared" si="13"/>
        <v>0</v>
      </c>
    </row>
    <row r="48" spans="1:16" s="61" customFormat="1" ht="30.75" thickBot="1">
      <c r="A48" s="182"/>
      <c r="B48" s="750">
        <v>75101</v>
      </c>
      <c r="C48" s="750"/>
      <c r="D48" s="755" t="s">
        <v>237</v>
      </c>
      <c r="E48" s="751">
        <f aca="true" t="shared" si="14" ref="E48:P48">E49</f>
        <v>1005</v>
      </c>
      <c r="F48" s="752">
        <f t="shared" si="14"/>
        <v>1005</v>
      </c>
      <c r="G48" s="753">
        <f t="shared" si="14"/>
        <v>1020</v>
      </c>
      <c r="H48" s="754">
        <f t="shared" si="2"/>
        <v>1.0149253731343284</v>
      </c>
      <c r="I48" s="751">
        <f t="shared" si="14"/>
        <v>0</v>
      </c>
      <c r="J48" s="751">
        <f t="shared" si="14"/>
        <v>0</v>
      </c>
      <c r="K48" s="751">
        <f t="shared" si="14"/>
        <v>0</v>
      </c>
      <c r="L48" s="751">
        <f t="shared" si="14"/>
        <v>1020</v>
      </c>
      <c r="M48" s="751">
        <f t="shared" si="14"/>
        <v>0</v>
      </c>
      <c r="N48" s="751">
        <f t="shared" si="14"/>
        <v>0</v>
      </c>
      <c r="O48" s="751">
        <f t="shared" si="14"/>
        <v>1020</v>
      </c>
      <c r="P48" s="751">
        <f t="shared" si="14"/>
        <v>0</v>
      </c>
    </row>
    <row r="49" spans="1:16" ht="42" customHeight="1" thickBot="1" thickTop="1">
      <c r="A49" s="65"/>
      <c r="B49" s="273"/>
      <c r="C49" s="274" t="s">
        <v>234</v>
      </c>
      <c r="D49" s="277" t="s">
        <v>235</v>
      </c>
      <c r="E49" s="200">
        <v>1005</v>
      </c>
      <c r="F49" s="246">
        <v>1005</v>
      </c>
      <c r="G49" s="266">
        <f>I49+L49</f>
        <v>1020</v>
      </c>
      <c r="H49" s="249">
        <f t="shared" si="2"/>
        <v>1.0149253731343284</v>
      </c>
      <c r="I49" s="200">
        <f>J49+K49</f>
        <v>0</v>
      </c>
      <c r="J49" s="200"/>
      <c r="K49" s="200"/>
      <c r="L49" s="200">
        <f>SUM(M49:P49)</f>
        <v>1020</v>
      </c>
      <c r="M49" s="200"/>
      <c r="N49" s="200"/>
      <c r="O49" s="200">
        <v>1020</v>
      </c>
      <c r="P49" s="200"/>
    </row>
    <row r="50" spans="1:16" s="61" customFormat="1" ht="24" customHeight="1" hidden="1">
      <c r="A50" s="68"/>
      <c r="B50" s="335">
        <v>75108</v>
      </c>
      <c r="C50" s="335"/>
      <c r="D50" s="336" t="s">
        <v>532</v>
      </c>
      <c r="E50" s="271">
        <f>E51</f>
        <v>16680</v>
      </c>
      <c r="F50" s="272">
        <f>F51</f>
        <v>16680</v>
      </c>
      <c r="G50" s="268">
        <f>G51</f>
        <v>0</v>
      </c>
      <c r="H50" s="247">
        <f t="shared" si="2"/>
        <v>0</v>
      </c>
      <c r="I50" s="271">
        <f>I51</f>
        <v>0</v>
      </c>
      <c r="J50" s="271">
        <f>J51</f>
        <v>0</v>
      </c>
      <c r="K50" s="271"/>
      <c r="L50" s="271">
        <f>L51</f>
        <v>0</v>
      </c>
      <c r="M50" s="271">
        <f>M51</f>
        <v>0</v>
      </c>
      <c r="N50" s="271">
        <f>N51</f>
        <v>0</v>
      </c>
      <c r="O50" s="271">
        <f>O51</f>
        <v>0</v>
      </c>
      <c r="P50" s="271">
        <f>P51</f>
        <v>0</v>
      </c>
    </row>
    <row r="51" spans="1:16" ht="38.25" hidden="1">
      <c r="A51" s="217"/>
      <c r="B51" s="186"/>
      <c r="C51" s="220" t="s">
        <v>234</v>
      </c>
      <c r="D51" s="290" t="s">
        <v>235</v>
      </c>
      <c r="E51" s="188">
        <f>3100+13580</f>
        <v>16680</v>
      </c>
      <c r="F51" s="244">
        <f>E51</f>
        <v>16680</v>
      </c>
      <c r="G51" s="280">
        <f>I51+L51</f>
        <v>0</v>
      </c>
      <c r="H51" s="281">
        <f t="shared" si="2"/>
        <v>0</v>
      </c>
      <c r="I51" s="188">
        <f>J51+K51</f>
        <v>0</v>
      </c>
      <c r="J51" s="188"/>
      <c r="K51" s="188"/>
      <c r="L51" s="188">
        <f>SUM(M51:P51)</f>
        <v>0</v>
      </c>
      <c r="M51" s="188"/>
      <c r="N51" s="188"/>
      <c r="O51" s="188"/>
      <c r="P51" s="188"/>
    </row>
    <row r="52" spans="1:16" ht="9.75" customHeight="1" hidden="1">
      <c r="A52" s="85"/>
      <c r="B52" s="4"/>
      <c r="C52" s="79"/>
      <c r="D52" s="5"/>
      <c r="E52" s="92"/>
      <c r="F52" s="92"/>
      <c r="G52" s="285"/>
      <c r="H52" s="138"/>
      <c r="I52" s="92"/>
      <c r="J52" s="92"/>
      <c r="K52" s="92"/>
      <c r="L52" s="92"/>
      <c r="M52" s="92"/>
      <c r="N52" s="92"/>
      <c r="O52" s="92"/>
      <c r="P52" s="92"/>
    </row>
    <row r="53" spans="1:16" s="46" customFormat="1" ht="8.25" hidden="1">
      <c r="A53" s="86">
        <v>1</v>
      </c>
      <c r="B53" s="86">
        <v>2</v>
      </c>
      <c r="C53" s="86">
        <v>3</v>
      </c>
      <c r="D53" s="86">
        <v>4</v>
      </c>
      <c r="E53" s="86">
        <v>5</v>
      </c>
      <c r="F53" s="243">
        <v>6</v>
      </c>
      <c r="G53" s="284">
        <v>7</v>
      </c>
      <c r="H53" s="251">
        <v>8</v>
      </c>
      <c r="I53" s="86">
        <v>9</v>
      </c>
      <c r="J53" s="86">
        <v>10</v>
      </c>
      <c r="K53" s="86">
        <v>11</v>
      </c>
      <c r="L53" s="86">
        <v>12</v>
      </c>
      <c r="M53" s="86">
        <v>13</v>
      </c>
      <c r="N53" s="86">
        <v>14</v>
      </c>
      <c r="O53" s="86">
        <v>15</v>
      </c>
      <c r="P53" s="86">
        <v>16</v>
      </c>
    </row>
    <row r="54" spans="1:16" s="61" customFormat="1" ht="28.5" customHeight="1" hidden="1">
      <c r="A54" s="334"/>
      <c r="B54" s="335">
        <v>75109</v>
      </c>
      <c r="C54" s="335"/>
      <c r="D54" s="337" t="s">
        <v>273</v>
      </c>
      <c r="E54" s="271">
        <f>E55</f>
        <v>7690</v>
      </c>
      <c r="F54" s="272">
        <f>F55</f>
        <v>7690</v>
      </c>
      <c r="G54" s="268">
        <f>G55</f>
        <v>0</v>
      </c>
      <c r="H54" s="247">
        <f t="shared" si="2"/>
        <v>0</v>
      </c>
      <c r="I54" s="271">
        <f>I55</f>
        <v>0</v>
      </c>
      <c r="J54" s="271">
        <f>J55</f>
        <v>0</v>
      </c>
      <c r="K54" s="271"/>
      <c r="L54" s="271">
        <f>L55</f>
        <v>0</v>
      </c>
      <c r="M54" s="271">
        <f>M55</f>
        <v>0</v>
      </c>
      <c r="N54" s="271">
        <f>N55</f>
        <v>0</v>
      </c>
      <c r="O54" s="271">
        <f>O55</f>
        <v>0</v>
      </c>
      <c r="P54" s="271">
        <f>P55</f>
        <v>0</v>
      </c>
    </row>
    <row r="55" spans="1:16" ht="38.25" hidden="1">
      <c r="A55" s="67"/>
      <c r="B55" s="273"/>
      <c r="C55" s="274" t="s">
        <v>234</v>
      </c>
      <c r="D55" s="277" t="s">
        <v>235</v>
      </c>
      <c r="E55" s="200">
        <v>7690</v>
      </c>
      <c r="F55" s="246">
        <v>7690</v>
      </c>
      <c r="G55" s="266">
        <f>I55+L55</f>
        <v>0</v>
      </c>
      <c r="H55" s="249">
        <f t="shared" si="2"/>
        <v>0</v>
      </c>
      <c r="I55" s="200">
        <f>J55+K55</f>
        <v>0</v>
      </c>
      <c r="J55" s="200"/>
      <c r="K55" s="200"/>
      <c r="L55" s="200">
        <f>SUM(M55:P55)</f>
        <v>0</v>
      </c>
      <c r="M55" s="200"/>
      <c r="N55" s="200"/>
      <c r="O55" s="200"/>
      <c r="P55" s="200"/>
    </row>
    <row r="56" spans="1:16" s="62" customFormat="1" ht="24.75" customHeight="1" thickBot="1">
      <c r="A56" s="687">
        <v>752</v>
      </c>
      <c r="B56" s="704"/>
      <c r="C56" s="688"/>
      <c r="D56" s="705" t="s">
        <v>238</v>
      </c>
      <c r="E56" s="689">
        <f>E57</f>
        <v>500</v>
      </c>
      <c r="F56" s="694">
        <f>F57</f>
        <v>500</v>
      </c>
      <c r="G56" s="690">
        <f>G57</f>
        <v>500</v>
      </c>
      <c r="H56" s="261">
        <f t="shared" si="2"/>
        <v>1</v>
      </c>
      <c r="I56" s="689">
        <f aca="true" t="shared" si="15" ref="I56:P56">I57</f>
        <v>0</v>
      </c>
      <c r="J56" s="689">
        <f t="shared" si="15"/>
        <v>0</v>
      </c>
      <c r="K56" s="689">
        <f t="shared" si="15"/>
        <v>0</v>
      </c>
      <c r="L56" s="689">
        <f t="shared" si="15"/>
        <v>500</v>
      </c>
      <c r="M56" s="689">
        <f t="shared" si="15"/>
        <v>0</v>
      </c>
      <c r="N56" s="689">
        <f t="shared" si="15"/>
        <v>0</v>
      </c>
      <c r="O56" s="689">
        <f t="shared" si="15"/>
        <v>500</v>
      </c>
      <c r="P56" s="691">
        <f t="shared" si="15"/>
        <v>0</v>
      </c>
    </row>
    <row r="57" spans="1:16" s="61" customFormat="1" ht="27" customHeight="1">
      <c r="A57" s="838"/>
      <c r="B57" s="839">
        <v>75212</v>
      </c>
      <c r="C57" s="839"/>
      <c r="D57" s="840" t="s">
        <v>239</v>
      </c>
      <c r="E57" s="841">
        <f>E60</f>
        <v>500</v>
      </c>
      <c r="F57" s="841">
        <f>F60</f>
        <v>500</v>
      </c>
      <c r="G57" s="842">
        <f>G60</f>
        <v>500</v>
      </c>
      <c r="H57" s="487">
        <f t="shared" si="2"/>
        <v>1</v>
      </c>
      <c r="I57" s="841">
        <f aca="true" t="shared" si="16" ref="I57:P57">I60</f>
        <v>0</v>
      </c>
      <c r="J57" s="841">
        <f t="shared" si="16"/>
        <v>0</v>
      </c>
      <c r="K57" s="841">
        <f t="shared" si="16"/>
        <v>0</v>
      </c>
      <c r="L57" s="841">
        <f t="shared" si="16"/>
        <v>500</v>
      </c>
      <c r="M57" s="841">
        <f t="shared" si="16"/>
        <v>0</v>
      </c>
      <c r="N57" s="841">
        <f t="shared" si="16"/>
        <v>0</v>
      </c>
      <c r="O57" s="841">
        <f t="shared" si="16"/>
        <v>500</v>
      </c>
      <c r="P57" s="841">
        <f t="shared" si="16"/>
        <v>0</v>
      </c>
    </row>
    <row r="58" spans="1:16" ht="17.25" customHeight="1">
      <c r="A58" s="85"/>
      <c r="B58" s="4"/>
      <c r="C58" s="79"/>
      <c r="D58" s="5"/>
      <c r="E58" s="92"/>
      <c r="F58" s="92"/>
      <c r="G58" s="285"/>
      <c r="H58" s="138"/>
      <c r="I58" s="92"/>
      <c r="J58" s="92"/>
      <c r="K58" s="92"/>
      <c r="L58" s="92"/>
      <c r="M58" s="92"/>
      <c r="N58" s="92"/>
      <c r="O58" s="92"/>
      <c r="P58" s="92"/>
    </row>
    <row r="59" spans="1:16" s="46" customFormat="1" ht="8.25">
      <c r="A59" s="86">
        <v>1</v>
      </c>
      <c r="B59" s="86">
        <v>2</v>
      </c>
      <c r="C59" s="86">
        <v>3</v>
      </c>
      <c r="D59" s="86">
        <v>4</v>
      </c>
      <c r="E59" s="86">
        <v>5</v>
      </c>
      <c r="F59" s="243">
        <v>6</v>
      </c>
      <c r="G59" s="284">
        <v>5</v>
      </c>
      <c r="H59" s="251">
        <v>8</v>
      </c>
      <c r="I59" s="86">
        <v>6</v>
      </c>
      <c r="J59" s="86">
        <v>7</v>
      </c>
      <c r="K59" s="86">
        <v>8</v>
      </c>
      <c r="L59" s="86">
        <v>9</v>
      </c>
      <c r="M59" s="86">
        <v>10</v>
      </c>
      <c r="N59" s="86">
        <v>11</v>
      </c>
      <c r="O59" s="86">
        <v>12</v>
      </c>
      <c r="P59" s="86">
        <v>13</v>
      </c>
    </row>
    <row r="60" spans="1:16" ht="42" customHeight="1" thickBot="1">
      <c r="A60" s="843"/>
      <c r="B60" s="186"/>
      <c r="C60" s="220" t="s">
        <v>234</v>
      </c>
      <c r="D60" s="290" t="s">
        <v>235</v>
      </c>
      <c r="E60" s="188">
        <v>500</v>
      </c>
      <c r="F60" s="244">
        <f>E60</f>
        <v>500</v>
      </c>
      <c r="G60" s="280">
        <f>I60+L60</f>
        <v>500</v>
      </c>
      <c r="H60" s="281">
        <f t="shared" si="2"/>
        <v>1</v>
      </c>
      <c r="I60" s="188">
        <f>J60+K60</f>
        <v>0</v>
      </c>
      <c r="J60" s="188"/>
      <c r="K60" s="188"/>
      <c r="L60" s="188">
        <f>SUM(M60:P60)</f>
        <v>500</v>
      </c>
      <c r="M60" s="188"/>
      <c r="N60" s="188"/>
      <c r="O60" s="188">
        <v>500</v>
      </c>
      <c r="P60" s="188"/>
    </row>
    <row r="61" spans="1:16" s="62" customFormat="1" ht="36.75" thickBot="1">
      <c r="A61" s="687">
        <v>754</v>
      </c>
      <c r="B61" s="704"/>
      <c r="C61" s="688"/>
      <c r="D61" s="705" t="s">
        <v>240</v>
      </c>
      <c r="E61" s="689">
        <f>E64</f>
        <v>700</v>
      </c>
      <c r="F61" s="694">
        <f>F64</f>
        <v>700</v>
      </c>
      <c r="G61" s="690">
        <f>G64+G62</f>
        <v>151000</v>
      </c>
      <c r="H61" s="261">
        <f t="shared" si="2"/>
        <v>215.71428571428572</v>
      </c>
      <c r="I61" s="689">
        <f>I64+I62</f>
        <v>150000</v>
      </c>
      <c r="J61" s="689">
        <f aca="true" t="shared" si="17" ref="J61:P61">J64+J62</f>
        <v>150000</v>
      </c>
      <c r="K61" s="689">
        <f t="shared" si="17"/>
        <v>0</v>
      </c>
      <c r="L61" s="689">
        <f t="shared" si="17"/>
        <v>1000</v>
      </c>
      <c r="M61" s="689">
        <f t="shared" si="17"/>
        <v>0</v>
      </c>
      <c r="N61" s="689">
        <f t="shared" si="17"/>
        <v>0</v>
      </c>
      <c r="O61" s="689">
        <f t="shared" si="17"/>
        <v>1000</v>
      </c>
      <c r="P61" s="691">
        <f t="shared" si="17"/>
        <v>0</v>
      </c>
    </row>
    <row r="62" spans="1:16" s="61" customFormat="1" ht="26.25" customHeight="1" thickBot="1">
      <c r="A62" s="93"/>
      <c r="B62" s="750">
        <v>75412</v>
      </c>
      <c r="C62" s="750"/>
      <c r="D62" s="755" t="s">
        <v>314</v>
      </c>
      <c r="E62" s="751">
        <f>SUM(E63:E63)</f>
        <v>700</v>
      </c>
      <c r="F62" s="752">
        <f>SUM(F63:F63)</f>
        <v>700</v>
      </c>
      <c r="G62" s="753">
        <f>SUM(G63:G63)</f>
        <v>150000</v>
      </c>
      <c r="H62" s="754">
        <f>G62/F62</f>
        <v>214.28571428571428</v>
      </c>
      <c r="I62" s="751">
        <f aca="true" t="shared" si="18" ref="I62:P64">I63</f>
        <v>150000</v>
      </c>
      <c r="J62" s="751">
        <f t="shared" si="18"/>
        <v>150000</v>
      </c>
      <c r="K62" s="751">
        <f t="shared" si="18"/>
        <v>0</v>
      </c>
      <c r="L62" s="751">
        <f t="shared" si="18"/>
        <v>0</v>
      </c>
      <c r="M62" s="751">
        <f t="shared" si="18"/>
        <v>0</v>
      </c>
      <c r="N62" s="751">
        <f t="shared" si="18"/>
        <v>0</v>
      </c>
      <c r="O62" s="751">
        <f t="shared" si="18"/>
        <v>0</v>
      </c>
      <c r="P62" s="751">
        <f t="shared" si="18"/>
        <v>0</v>
      </c>
    </row>
    <row r="63" spans="1:16" ht="39.75" thickBot="1" thickTop="1">
      <c r="A63" s="217"/>
      <c r="B63" s="742"/>
      <c r="C63" s="742">
        <v>6290</v>
      </c>
      <c r="D63" s="757" t="s">
        <v>229</v>
      </c>
      <c r="E63" s="745">
        <v>700</v>
      </c>
      <c r="F63" s="746">
        <v>700</v>
      </c>
      <c r="G63" s="747">
        <f>I63+L63</f>
        <v>150000</v>
      </c>
      <c r="H63" s="748">
        <f>G63/F63</f>
        <v>214.28571428571428</v>
      </c>
      <c r="I63" s="745">
        <f>J63+K63</f>
        <v>150000</v>
      </c>
      <c r="J63" s="745">
        <v>150000</v>
      </c>
      <c r="K63" s="745"/>
      <c r="L63" s="745">
        <f>SUM(M63:P63)</f>
        <v>0</v>
      </c>
      <c r="M63" s="745"/>
      <c r="N63" s="745"/>
      <c r="O63" s="745"/>
      <c r="P63" s="745"/>
    </row>
    <row r="64" spans="1:16" s="61" customFormat="1" ht="26.25" customHeight="1" thickBot="1" thickTop="1">
      <c r="A64" s="93"/>
      <c r="B64" s="730">
        <v>75414</v>
      </c>
      <c r="C64" s="730"/>
      <c r="D64" s="731" t="s">
        <v>241</v>
      </c>
      <c r="E64" s="732">
        <f>SUM(E65:E65)</f>
        <v>700</v>
      </c>
      <c r="F64" s="733">
        <f>SUM(F65:F65)</f>
        <v>700</v>
      </c>
      <c r="G64" s="734">
        <f>SUM(G65:G65)</f>
        <v>1000</v>
      </c>
      <c r="H64" s="735">
        <f t="shared" si="2"/>
        <v>1.4285714285714286</v>
      </c>
      <c r="I64" s="732">
        <f t="shared" si="18"/>
        <v>0</v>
      </c>
      <c r="J64" s="732">
        <f t="shared" si="18"/>
        <v>0</v>
      </c>
      <c r="K64" s="732">
        <f t="shared" si="18"/>
        <v>0</v>
      </c>
      <c r="L64" s="732">
        <f t="shared" si="18"/>
        <v>1000</v>
      </c>
      <c r="M64" s="732">
        <f t="shared" si="18"/>
        <v>0</v>
      </c>
      <c r="N64" s="732">
        <f t="shared" si="18"/>
        <v>0</v>
      </c>
      <c r="O64" s="732">
        <f t="shared" si="18"/>
        <v>1000</v>
      </c>
      <c r="P64" s="732">
        <f t="shared" si="18"/>
        <v>0</v>
      </c>
    </row>
    <row r="65" spans="1:16" ht="39.75" thickBot="1" thickTop="1">
      <c r="A65" s="67"/>
      <c r="B65" s="273"/>
      <c r="C65" s="274" t="s">
        <v>234</v>
      </c>
      <c r="D65" s="277" t="s">
        <v>235</v>
      </c>
      <c r="E65" s="200">
        <v>700</v>
      </c>
      <c r="F65" s="246">
        <v>700</v>
      </c>
      <c r="G65" s="266">
        <f>I65+L65</f>
        <v>1000</v>
      </c>
      <c r="H65" s="249">
        <f t="shared" si="2"/>
        <v>1.4285714285714286</v>
      </c>
      <c r="I65" s="200">
        <f>J65+K65</f>
        <v>0</v>
      </c>
      <c r="J65" s="200"/>
      <c r="K65" s="200"/>
      <c r="L65" s="200">
        <f>SUM(M65:P65)</f>
        <v>1000</v>
      </c>
      <c r="M65" s="200"/>
      <c r="N65" s="200"/>
      <c r="O65" s="200">
        <v>1000</v>
      </c>
      <c r="P65" s="200"/>
    </row>
    <row r="66" spans="1:16" s="62" customFormat="1" ht="75" customHeight="1" thickBot="1">
      <c r="A66" s="698">
        <v>756</v>
      </c>
      <c r="B66" s="688"/>
      <c r="C66" s="688"/>
      <c r="D66" s="699" t="s">
        <v>37</v>
      </c>
      <c r="E66" s="689">
        <f>E67+E70+E78+E91+E95</f>
        <v>4589736</v>
      </c>
      <c r="F66" s="694">
        <f>F67+F70+F78+F91+F95</f>
        <v>4506186</v>
      </c>
      <c r="G66" s="690">
        <f>G67+G70+G78+G91+G95</f>
        <v>4807282</v>
      </c>
      <c r="H66" s="261">
        <f t="shared" si="2"/>
        <v>1.0668183692373108</v>
      </c>
      <c r="I66" s="689">
        <f aca="true" t="shared" si="19" ref="I66:P66">I67+I70+I78+I91+I95</f>
        <v>0</v>
      </c>
      <c r="J66" s="689">
        <f t="shared" si="19"/>
        <v>0</v>
      </c>
      <c r="K66" s="689">
        <f t="shared" si="19"/>
        <v>0</v>
      </c>
      <c r="L66" s="689">
        <f t="shared" si="19"/>
        <v>4807282</v>
      </c>
      <c r="M66" s="689">
        <f t="shared" si="19"/>
        <v>2685457</v>
      </c>
      <c r="N66" s="689">
        <f t="shared" si="19"/>
        <v>0</v>
      </c>
      <c r="O66" s="689">
        <f t="shared" si="19"/>
        <v>0</v>
      </c>
      <c r="P66" s="691">
        <f t="shared" si="19"/>
        <v>2121825</v>
      </c>
    </row>
    <row r="67" spans="1:16" s="61" customFormat="1" ht="30.75" thickBot="1">
      <c r="A67" s="93"/>
      <c r="B67" s="750">
        <v>75601</v>
      </c>
      <c r="C67" s="750"/>
      <c r="D67" s="755" t="s">
        <v>193</v>
      </c>
      <c r="E67" s="751">
        <f>SUM(E68:E69)</f>
        <v>7900</v>
      </c>
      <c r="F67" s="752">
        <f>SUM(F68:F69)</f>
        <v>7900</v>
      </c>
      <c r="G67" s="753">
        <f aca="true" t="shared" si="20" ref="G67:P67">G68</f>
        <v>7500</v>
      </c>
      <c r="H67" s="754">
        <f t="shared" si="2"/>
        <v>0.9493670886075949</v>
      </c>
      <c r="I67" s="751">
        <f t="shared" si="20"/>
        <v>0</v>
      </c>
      <c r="J67" s="751">
        <f t="shared" si="20"/>
        <v>0</v>
      </c>
      <c r="K67" s="751">
        <f t="shared" si="20"/>
        <v>0</v>
      </c>
      <c r="L67" s="751">
        <f t="shared" si="20"/>
        <v>7500</v>
      </c>
      <c r="M67" s="751">
        <f t="shared" si="20"/>
        <v>7500</v>
      </c>
      <c r="N67" s="751">
        <f t="shared" si="20"/>
        <v>0</v>
      </c>
      <c r="O67" s="751">
        <f t="shared" si="20"/>
        <v>0</v>
      </c>
      <c r="P67" s="751">
        <f t="shared" si="20"/>
        <v>0</v>
      </c>
    </row>
    <row r="68" spans="1:16" ht="27.75" customHeight="1" thickBot="1" thickTop="1">
      <c r="A68" s="67"/>
      <c r="B68" s="742"/>
      <c r="C68" s="743" t="s">
        <v>194</v>
      </c>
      <c r="D68" s="757" t="s">
        <v>195</v>
      </c>
      <c r="E68" s="745">
        <v>7500</v>
      </c>
      <c r="F68" s="746">
        <f>E68</f>
        <v>7500</v>
      </c>
      <c r="G68" s="747">
        <f>I68+L68</f>
        <v>7500</v>
      </c>
      <c r="H68" s="748">
        <f t="shared" si="2"/>
        <v>1</v>
      </c>
      <c r="I68" s="745">
        <f>J68+K68</f>
        <v>0</v>
      </c>
      <c r="J68" s="745"/>
      <c r="K68" s="745"/>
      <c r="L68" s="745">
        <f>SUM(M68:P68)</f>
        <v>7500</v>
      </c>
      <c r="M68" s="745">
        <v>7500</v>
      </c>
      <c r="N68" s="745"/>
      <c r="O68" s="745"/>
      <c r="P68" s="745"/>
    </row>
    <row r="69" spans="1:16" ht="15" hidden="1">
      <c r="A69" s="65"/>
      <c r="B69" s="273"/>
      <c r="C69" s="274" t="s">
        <v>202</v>
      </c>
      <c r="D69" s="275" t="s">
        <v>208</v>
      </c>
      <c r="E69" s="200">
        <v>400</v>
      </c>
      <c r="F69" s="246">
        <f>E69</f>
        <v>400</v>
      </c>
      <c r="G69" s="266">
        <f>I69+L69</f>
        <v>0</v>
      </c>
      <c r="H69" s="249">
        <f t="shared" si="2"/>
        <v>0</v>
      </c>
      <c r="I69" s="200">
        <f>J69+K69</f>
        <v>0</v>
      </c>
      <c r="J69" s="200"/>
      <c r="K69" s="200"/>
      <c r="L69" s="200">
        <f>SUM(M69:P69)</f>
        <v>0</v>
      </c>
      <c r="M69" s="200"/>
      <c r="N69" s="200"/>
      <c r="O69" s="200"/>
      <c r="P69" s="200"/>
    </row>
    <row r="70" spans="1:16" s="61" customFormat="1" ht="61.5" thickBot="1" thickTop="1">
      <c r="A70" s="66"/>
      <c r="B70" s="724">
        <v>75615</v>
      </c>
      <c r="C70" s="723"/>
      <c r="D70" s="758" t="s">
        <v>196</v>
      </c>
      <c r="E70" s="725">
        <f aca="true" t="shared" si="21" ref="E70:P70">SUM(E71:E77)</f>
        <v>1434770</v>
      </c>
      <c r="F70" s="726">
        <f>SUM(F71:F77)</f>
        <v>1325192</v>
      </c>
      <c r="G70" s="727">
        <f t="shared" si="21"/>
        <v>1429837</v>
      </c>
      <c r="H70" s="728">
        <f t="shared" si="2"/>
        <v>1.078965915882378</v>
      </c>
      <c r="I70" s="725">
        <f t="shared" si="21"/>
        <v>0</v>
      </c>
      <c r="J70" s="725">
        <f t="shared" si="21"/>
        <v>0</v>
      </c>
      <c r="K70" s="725">
        <f t="shared" si="21"/>
        <v>0</v>
      </c>
      <c r="L70" s="725">
        <f t="shared" si="21"/>
        <v>1429837</v>
      </c>
      <c r="M70" s="725">
        <f t="shared" si="21"/>
        <v>1429837</v>
      </c>
      <c r="N70" s="725">
        <f t="shared" si="21"/>
        <v>0</v>
      </c>
      <c r="O70" s="725">
        <f>SUM(O71:O77)</f>
        <v>0</v>
      </c>
      <c r="P70" s="725">
        <f t="shared" si="21"/>
        <v>0</v>
      </c>
    </row>
    <row r="71" spans="1:16" ht="20.25" customHeight="1" thickTop="1">
      <c r="A71" s="67"/>
      <c r="B71" s="273"/>
      <c r="C71" s="96" t="s">
        <v>197</v>
      </c>
      <c r="D71" s="270" t="s">
        <v>203</v>
      </c>
      <c r="E71" s="200">
        <v>1325590</v>
      </c>
      <c r="F71" s="246">
        <v>1218990</v>
      </c>
      <c r="G71" s="264">
        <f aca="true" t="shared" si="22" ref="G71:G77">I71+L71</f>
        <v>1325590</v>
      </c>
      <c r="H71" s="248">
        <f t="shared" si="2"/>
        <v>1.0874494458527142</v>
      </c>
      <c r="I71" s="200">
        <f aca="true" t="shared" si="23" ref="I71:I77">J71+K71</f>
        <v>0</v>
      </c>
      <c r="J71" s="200"/>
      <c r="K71" s="200"/>
      <c r="L71" s="200">
        <f aca="true" t="shared" si="24" ref="L71:L77">SUM(M71:P71)</f>
        <v>1325590</v>
      </c>
      <c r="M71" s="200">
        <v>1325590</v>
      </c>
      <c r="N71" s="200"/>
      <c r="O71" s="200"/>
      <c r="P71" s="200"/>
    </row>
    <row r="72" spans="1:16" ht="20.25" customHeight="1">
      <c r="A72" s="65"/>
      <c r="B72" s="30"/>
      <c r="C72" s="74" t="s">
        <v>198</v>
      </c>
      <c r="D72" s="20" t="s">
        <v>204</v>
      </c>
      <c r="E72" s="81">
        <v>53000</v>
      </c>
      <c r="F72" s="245">
        <v>50500</v>
      </c>
      <c r="G72" s="263">
        <f>I72+L72</f>
        <v>50500</v>
      </c>
      <c r="H72" s="248">
        <f t="shared" si="2"/>
        <v>1</v>
      </c>
      <c r="I72" s="81">
        <f t="shared" si="23"/>
        <v>0</v>
      </c>
      <c r="J72" s="82"/>
      <c r="K72" s="82"/>
      <c r="L72" s="81">
        <f t="shared" si="24"/>
        <v>50500</v>
      </c>
      <c r="M72" s="82">
        <v>50500</v>
      </c>
      <c r="N72" s="82"/>
      <c r="O72" s="82"/>
      <c r="P72" s="82"/>
    </row>
    <row r="73" spans="1:16" ht="20.25" customHeight="1">
      <c r="A73" s="67"/>
      <c r="B73" s="72"/>
      <c r="C73" s="74" t="s">
        <v>199</v>
      </c>
      <c r="D73" s="45" t="s">
        <v>205</v>
      </c>
      <c r="E73" s="81">
        <v>9800</v>
      </c>
      <c r="F73" s="245">
        <v>9909</v>
      </c>
      <c r="G73" s="263">
        <f t="shared" si="22"/>
        <v>9909</v>
      </c>
      <c r="H73" s="248">
        <f t="shared" si="2"/>
        <v>1</v>
      </c>
      <c r="I73" s="81">
        <f t="shared" si="23"/>
        <v>0</v>
      </c>
      <c r="J73" s="81"/>
      <c r="K73" s="81"/>
      <c r="L73" s="81">
        <f t="shared" si="24"/>
        <v>9909</v>
      </c>
      <c r="M73" s="81">
        <v>9909</v>
      </c>
      <c r="N73" s="81"/>
      <c r="O73" s="81"/>
      <c r="P73" s="81"/>
    </row>
    <row r="74" spans="1:16" ht="20.25" customHeight="1">
      <c r="A74" s="65"/>
      <c r="B74" s="30"/>
      <c r="C74" s="74" t="s">
        <v>200</v>
      </c>
      <c r="D74" s="20" t="s">
        <v>206</v>
      </c>
      <c r="E74" s="81">
        <v>11230</v>
      </c>
      <c r="F74" s="245">
        <v>8303</v>
      </c>
      <c r="G74" s="263">
        <f t="shared" si="22"/>
        <v>7688</v>
      </c>
      <c r="H74" s="248">
        <f t="shared" si="2"/>
        <v>0.9259303866072504</v>
      </c>
      <c r="I74" s="81">
        <f t="shared" si="23"/>
        <v>0</v>
      </c>
      <c r="J74" s="82"/>
      <c r="K74" s="82"/>
      <c r="L74" s="81">
        <f t="shared" si="24"/>
        <v>7688</v>
      </c>
      <c r="M74" s="82">
        <v>7688</v>
      </c>
      <c r="N74" s="82"/>
      <c r="O74" s="82"/>
      <c r="P74" s="82"/>
    </row>
    <row r="75" spans="1:16" ht="20.25" customHeight="1">
      <c r="A75" s="65"/>
      <c r="B75" s="30"/>
      <c r="C75" s="74" t="s">
        <v>201</v>
      </c>
      <c r="D75" s="20" t="s">
        <v>207</v>
      </c>
      <c r="E75" s="81">
        <v>10000</v>
      </c>
      <c r="F75" s="245">
        <v>12358</v>
      </c>
      <c r="G75" s="263">
        <f t="shared" si="22"/>
        <v>12000</v>
      </c>
      <c r="H75" s="248">
        <f t="shared" si="2"/>
        <v>0.9710309111506716</v>
      </c>
      <c r="I75" s="81">
        <f t="shared" si="23"/>
        <v>0</v>
      </c>
      <c r="J75" s="82"/>
      <c r="K75" s="82"/>
      <c r="L75" s="81">
        <f t="shared" si="24"/>
        <v>12000</v>
      </c>
      <c r="M75" s="82">
        <v>12000</v>
      </c>
      <c r="N75" s="82"/>
      <c r="O75" s="82"/>
      <c r="P75" s="82"/>
    </row>
    <row r="76" spans="1:16" ht="20.25" customHeight="1">
      <c r="A76" s="65"/>
      <c r="B76" s="30"/>
      <c r="C76" s="74" t="s">
        <v>183</v>
      </c>
      <c r="D76" s="20" t="s">
        <v>184</v>
      </c>
      <c r="E76" s="81">
        <v>150</v>
      </c>
      <c r="F76" s="245">
        <v>132</v>
      </c>
      <c r="G76" s="263">
        <f t="shared" si="22"/>
        <v>150</v>
      </c>
      <c r="H76" s="248">
        <f t="shared" si="2"/>
        <v>1.1363636363636365</v>
      </c>
      <c r="I76" s="81">
        <f t="shared" si="23"/>
        <v>0</v>
      </c>
      <c r="J76" s="82"/>
      <c r="K76" s="82"/>
      <c r="L76" s="81">
        <f t="shared" si="24"/>
        <v>150</v>
      </c>
      <c r="M76" s="82">
        <v>150</v>
      </c>
      <c r="N76" s="82"/>
      <c r="O76" s="82"/>
      <c r="P76" s="82"/>
    </row>
    <row r="77" spans="1:16" ht="20.25" customHeight="1" thickBot="1">
      <c r="A77" s="217"/>
      <c r="B77" s="736"/>
      <c r="C77" s="756" t="s">
        <v>202</v>
      </c>
      <c r="D77" s="737" t="s">
        <v>208</v>
      </c>
      <c r="E77" s="738">
        <v>25000</v>
      </c>
      <c r="F77" s="739">
        <f>E77</f>
        <v>25000</v>
      </c>
      <c r="G77" s="740">
        <f t="shared" si="22"/>
        <v>24000</v>
      </c>
      <c r="H77" s="741">
        <f aca="true" t="shared" si="25" ref="H77:H137">G77/F77</f>
        <v>0.96</v>
      </c>
      <c r="I77" s="738">
        <f t="shared" si="23"/>
        <v>0</v>
      </c>
      <c r="J77" s="738"/>
      <c r="K77" s="738"/>
      <c r="L77" s="738">
        <f t="shared" si="24"/>
        <v>24000</v>
      </c>
      <c r="M77" s="738">
        <v>24000</v>
      </c>
      <c r="N77" s="738"/>
      <c r="O77" s="738"/>
      <c r="P77" s="738"/>
    </row>
    <row r="78" spans="1:16" s="61" customFormat="1" ht="61.5" thickBot="1" thickTop="1">
      <c r="A78" s="182"/>
      <c r="B78" s="730">
        <v>75616</v>
      </c>
      <c r="C78" s="729"/>
      <c r="D78" s="731" t="s">
        <v>209</v>
      </c>
      <c r="E78" s="732">
        <f>SUM(E79:E90)</f>
        <v>1235498</v>
      </c>
      <c r="F78" s="733">
        <f>SUM(F79:F90)</f>
        <v>1264626</v>
      </c>
      <c r="G78" s="734">
        <f>SUM(G79:G90)-G82</f>
        <v>1272820</v>
      </c>
      <c r="H78" s="735">
        <f t="shared" si="25"/>
        <v>1.0064793860002879</v>
      </c>
      <c r="I78" s="732">
        <f aca="true" t="shared" si="26" ref="I78:P78">SUM(I79:I90)-I82</f>
        <v>0</v>
      </c>
      <c r="J78" s="732">
        <f t="shared" si="26"/>
        <v>0</v>
      </c>
      <c r="K78" s="732">
        <f t="shared" si="26"/>
        <v>0</v>
      </c>
      <c r="L78" s="732">
        <f t="shared" si="26"/>
        <v>1272820</v>
      </c>
      <c r="M78" s="732">
        <f t="shared" si="26"/>
        <v>1149820</v>
      </c>
      <c r="N78" s="732">
        <f t="shared" si="26"/>
        <v>0</v>
      </c>
      <c r="O78" s="732">
        <f t="shared" si="26"/>
        <v>0</v>
      </c>
      <c r="P78" s="732">
        <f t="shared" si="26"/>
        <v>123000</v>
      </c>
    </row>
    <row r="79" spans="1:16" ht="18.75" customHeight="1" thickTop="1">
      <c r="A79" s="65"/>
      <c r="B79" s="95"/>
      <c r="C79" s="96" t="s">
        <v>197</v>
      </c>
      <c r="D79" s="270" t="s">
        <v>203</v>
      </c>
      <c r="E79" s="200">
        <v>531548</v>
      </c>
      <c r="F79" s="246">
        <v>478979</v>
      </c>
      <c r="G79" s="264">
        <f aca="true" t="shared" si="27" ref="G79:G90">I79+L79</f>
        <v>508979</v>
      </c>
      <c r="H79" s="248">
        <f t="shared" si="25"/>
        <v>1.0626332260913318</v>
      </c>
      <c r="I79" s="200">
        <f aca="true" t="shared" si="28" ref="I79:I90">J79+K79</f>
        <v>0</v>
      </c>
      <c r="J79" s="98"/>
      <c r="K79" s="98"/>
      <c r="L79" s="200">
        <f aca="true" t="shared" si="29" ref="L79:L90">SUM(M79:P79)</f>
        <v>508979</v>
      </c>
      <c r="M79" s="98">
        <v>508979</v>
      </c>
      <c r="N79" s="98"/>
      <c r="O79" s="98"/>
      <c r="P79" s="98"/>
    </row>
    <row r="80" spans="1:16" ht="18.75" customHeight="1">
      <c r="A80" s="217"/>
      <c r="B80" s="221"/>
      <c r="C80" s="218" t="s">
        <v>198</v>
      </c>
      <c r="D80" s="21" t="s">
        <v>204</v>
      </c>
      <c r="E80" s="110">
        <v>386706</v>
      </c>
      <c r="F80" s="242">
        <v>440846</v>
      </c>
      <c r="G80" s="265">
        <f t="shared" si="27"/>
        <v>440846</v>
      </c>
      <c r="H80" s="250">
        <f t="shared" si="25"/>
        <v>1</v>
      </c>
      <c r="I80" s="110">
        <f t="shared" si="28"/>
        <v>0</v>
      </c>
      <c r="J80" s="110"/>
      <c r="K80" s="110"/>
      <c r="L80" s="110">
        <f t="shared" si="29"/>
        <v>440846</v>
      </c>
      <c r="M80" s="110">
        <v>440846</v>
      </c>
      <c r="N80" s="110"/>
      <c r="O80" s="110"/>
      <c r="P80" s="110"/>
    </row>
    <row r="81" spans="1:16" ht="11.25" customHeight="1">
      <c r="A81" s="85"/>
      <c r="B81" s="4"/>
      <c r="C81" s="79"/>
      <c r="D81" s="5"/>
      <c r="E81" s="92"/>
      <c r="F81" s="92"/>
      <c r="G81" s="285"/>
      <c r="H81" s="138"/>
      <c r="I81" s="92"/>
      <c r="J81" s="92"/>
      <c r="K81" s="92"/>
      <c r="L81" s="92"/>
      <c r="M81" s="92"/>
      <c r="N81" s="92"/>
      <c r="O81" s="92"/>
      <c r="P81" s="92"/>
    </row>
    <row r="82" spans="1:16" s="46" customFormat="1" ht="8.25">
      <c r="A82" s="86">
        <v>1</v>
      </c>
      <c r="B82" s="86">
        <v>2</v>
      </c>
      <c r="C82" s="86">
        <v>3</v>
      </c>
      <c r="D82" s="86">
        <v>4</v>
      </c>
      <c r="E82" s="86">
        <v>5</v>
      </c>
      <c r="F82" s="243">
        <v>6</v>
      </c>
      <c r="G82" s="284">
        <v>5</v>
      </c>
      <c r="H82" s="251">
        <v>8</v>
      </c>
      <c r="I82" s="86">
        <v>6</v>
      </c>
      <c r="J82" s="86">
        <v>7</v>
      </c>
      <c r="K82" s="86">
        <v>8</v>
      </c>
      <c r="L82" s="86">
        <v>9</v>
      </c>
      <c r="M82" s="86">
        <v>10</v>
      </c>
      <c r="N82" s="86">
        <v>11</v>
      </c>
      <c r="O82" s="86">
        <v>12</v>
      </c>
      <c r="P82" s="86">
        <v>13</v>
      </c>
    </row>
    <row r="83" spans="1:16" ht="18.75" customHeight="1">
      <c r="A83" s="65"/>
      <c r="B83" s="30"/>
      <c r="C83" s="74" t="s">
        <v>199</v>
      </c>
      <c r="D83" s="45" t="s">
        <v>205</v>
      </c>
      <c r="E83" s="81">
        <v>1349</v>
      </c>
      <c r="F83" s="245">
        <v>1405</v>
      </c>
      <c r="G83" s="263">
        <f t="shared" si="27"/>
        <v>1405</v>
      </c>
      <c r="H83" s="248">
        <f t="shared" si="25"/>
        <v>1</v>
      </c>
      <c r="I83" s="81">
        <f t="shared" si="28"/>
        <v>0</v>
      </c>
      <c r="J83" s="82"/>
      <c r="K83" s="82"/>
      <c r="L83" s="81">
        <f t="shared" si="29"/>
        <v>1405</v>
      </c>
      <c r="M83" s="82">
        <v>1405</v>
      </c>
      <c r="N83" s="82"/>
      <c r="O83" s="82"/>
      <c r="P83" s="82"/>
    </row>
    <row r="84" spans="1:16" ht="18.75" customHeight="1">
      <c r="A84" s="65"/>
      <c r="B84" s="30"/>
      <c r="C84" s="74" t="s">
        <v>200</v>
      </c>
      <c r="D84" s="20" t="s">
        <v>206</v>
      </c>
      <c r="E84" s="82">
        <v>180000</v>
      </c>
      <c r="F84" s="240">
        <v>187000</v>
      </c>
      <c r="G84" s="263">
        <f t="shared" si="27"/>
        <v>165000</v>
      </c>
      <c r="H84" s="467">
        <f t="shared" si="25"/>
        <v>0.8823529411764706</v>
      </c>
      <c r="I84" s="82">
        <f t="shared" si="28"/>
        <v>0</v>
      </c>
      <c r="J84" s="82"/>
      <c r="K84" s="82"/>
      <c r="L84" s="82">
        <f t="shared" si="29"/>
        <v>165000</v>
      </c>
      <c r="M84" s="82">
        <v>165000</v>
      </c>
      <c r="N84" s="82"/>
      <c r="O84" s="82"/>
      <c r="P84" s="82"/>
    </row>
    <row r="85" spans="1:16" ht="18.75" customHeight="1">
      <c r="A85" s="94"/>
      <c r="B85" s="95"/>
      <c r="C85" s="96" t="s">
        <v>210</v>
      </c>
      <c r="D85" s="116" t="s">
        <v>211</v>
      </c>
      <c r="E85" s="200">
        <v>3300</v>
      </c>
      <c r="F85" s="246">
        <f>E85</f>
        <v>3300</v>
      </c>
      <c r="G85" s="264">
        <f t="shared" si="27"/>
        <v>3000</v>
      </c>
      <c r="H85" s="248">
        <f t="shared" si="25"/>
        <v>0.9090909090909091</v>
      </c>
      <c r="I85" s="200">
        <f t="shared" si="28"/>
        <v>0</v>
      </c>
      <c r="J85" s="98"/>
      <c r="K85" s="98"/>
      <c r="L85" s="200">
        <f t="shared" si="29"/>
        <v>3000</v>
      </c>
      <c r="M85" s="98"/>
      <c r="N85" s="98"/>
      <c r="O85" s="98"/>
      <c r="P85" s="98">
        <v>3000</v>
      </c>
    </row>
    <row r="86" spans="1:16" ht="18.75" customHeight="1">
      <c r="A86" s="65"/>
      <c r="B86" s="30"/>
      <c r="C86" s="74" t="s">
        <v>528</v>
      </c>
      <c r="D86" s="20" t="s">
        <v>540</v>
      </c>
      <c r="E86" s="81">
        <v>90</v>
      </c>
      <c r="F86" s="245">
        <v>90</v>
      </c>
      <c r="G86" s="263">
        <f t="shared" si="27"/>
        <v>90</v>
      </c>
      <c r="H86" s="248">
        <f t="shared" si="25"/>
        <v>1</v>
      </c>
      <c r="I86" s="81">
        <f t="shared" si="28"/>
        <v>0</v>
      </c>
      <c r="J86" s="82"/>
      <c r="K86" s="82"/>
      <c r="L86" s="81">
        <f t="shared" si="29"/>
        <v>90</v>
      </c>
      <c r="M86" s="82">
        <v>90</v>
      </c>
      <c r="N86" s="82"/>
      <c r="O86" s="82"/>
      <c r="P86" s="82"/>
    </row>
    <row r="87" spans="1:16" ht="18.75" customHeight="1">
      <c r="A87" s="65"/>
      <c r="B87" s="30"/>
      <c r="C87" s="74" t="s">
        <v>212</v>
      </c>
      <c r="D87" s="60" t="s">
        <v>527</v>
      </c>
      <c r="E87" s="82">
        <v>2500</v>
      </c>
      <c r="F87" s="240">
        <f>E87</f>
        <v>2500</v>
      </c>
      <c r="G87" s="263">
        <f t="shared" si="27"/>
        <v>2500</v>
      </c>
      <c r="H87" s="467">
        <f t="shared" si="25"/>
        <v>1</v>
      </c>
      <c r="I87" s="82">
        <f t="shared" si="28"/>
        <v>0</v>
      </c>
      <c r="J87" s="82"/>
      <c r="K87" s="82"/>
      <c r="L87" s="82">
        <f t="shared" si="29"/>
        <v>2500</v>
      </c>
      <c r="M87" s="82">
        <v>2500</v>
      </c>
      <c r="N87" s="82"/>
      <c r="O87" s="82"/>
      <c r="P87" s="82"/>
    </row>
    <row r="88" spans="1:16" ht="18" customHeight="1">
      <c r="A88" s="94"/>
      <c r="B88" s="95"/>
      <c r="C88" s="96" t="s">
        <v>201</v>
      </c>
      <c r="D88" s="116" t="s">
        <v>207</v>
      </c>
      <c r="E88" s="200">
        <v>105000</v>
      </c>
      <c r="F88" s="246">
        <v>120000</v>
      </c>
      <c r="G88" s="264">
        <f t="shared" si="27"/>
        <v>120000</v>
      </c>
      <c r="H88" s="248">
        <f t="shared" si="25"/>
        <v>1</v>
      </c>
      <c r="I88" s="200">
        <f t="shared" si="28"/>
        <v>0</v>
      </c>
      <c r="J88" s="98"/>
      <c r="K88" s="98"/>
      <c r="L88" s="200">
        <f t="shared" si="29"/>
        <v>120000</v>
      </c>
      <c r="M88" s="98"/>
      <c r="N88" s="98"/>
      <c r="O88" s="98"/>
      <c r="P88" s="98">
        <v>120000</v>
      </c>
    </row>
    <row r="89" spans="1:16" ht="18" customHeight="1">
      <c r="A89" s="65"/>
      <c r="B89" s="30"/>
      <c r="C89" s="74" t="s">
        <v>183</v>
      </c>
      <c r="D89" s="20" t="s">
        <v>184</v>
      </c>
      <c r="E89" s="81">
        <v>6000</v>
      </c>
      <c r="F89" s="245">
        <v>6940</v>
      </c>
      <c r="G89" s="263">
        <f t="shared" si="27"/>
        <v>7000</v>
      </c>
      <c r="H89" s="248">
        <f t="shared" si="25"/>
        <v>1.0086455331412103</v>
      </c>
      <c r="I89" s="81">
        <f t="shared" si="28"/>
        <v>0</v>
      </c>
      <c r="J89" s="82"/>
      <c r="K89" s="82"/>
      <c r="L89" s="81">
        <f t="shared" si="29"/>
        <v>7000</v>
      </c>
      <c r="M89" s="82">
        <v>7000</v>
      </c>
      <c r="N89" s="82"/>
      <c r="O89" s="82"/>
      <c r="P89" s="82"/>
    </row>
    <row r="90" spans="1:16" ht="18" customHeight="1" thickBot="1">
      <c r="A90" s="65"/>
      <c r="B90" s="736"/>
      <c r="C90" s="756" t="s">
        <v>202</v>
      </c>
      <c r="D90" s="737" t="s">
        <v>208</v>
      </c>
      <c r="E90" s="738">
        <v>19000</v>
      </c>
      <c r="F90" s="739">
        <v>23560</v>
      </c>
      <c r="G90" s="740">
        <f t="shared" si="27"/>
        <v>24000</v>
      </c>
      <c r="H90" s="741">
        <f t="shared" si="25"/>
        <v>1.0186757215619695</v>
      </c>
      <c r="I90" s="738">
        <f t="shared" si="28"/>
        <v>0</v>
      </c>
      <c r="J90" s="738"/>
      <c r="K90" s="738"/>
      <c r="L90" s="738">
        <f t="shared" si="29"/>
        <v>24000</v>
      </c>
      <c r="M90" s="738">
        <v>24000</v>
      </c>
      <c r="N90" s="738"/>
      <c r="O90" s="738"/>
      <c r="P90" s="738"/>
    </row>
    <row r="91" spans="1:16" s="61" customFormat="1" ht="46.5" thickBot="1" thickTop="1">
      <c r="A91" s="66"/>
      <c r="B91" s="730">
        <v>75618</v>
      </c>
      <c r="C91" s="729"/>
      <c r="D91" s="731" t="s">
        <v>214</v>
      </c>
      <c r="E91" s="732">
        <f aca="true" t="shared" si="30" ref="E91:P91">SUM(E92:E94)</f>
        <v>100000</v>
      </c>
      <c r="F91" s="733">
        <f>SUM(F92:F94)</f>
        <v>92700</v>
      </c>
      <c r="G91" s="734">
        <f t="shared" si="30"/>
        <v>98300</v>
      </c>
      <c r="H91" s="735">
        <f t="shared" si="25"/>
        <v>1.0604099244875944</v>
      </c>
      <c r="I91" s="732">
        <f t="shared" si="30"/>
        <v>0</v>
      </c>
      <c r="J91" s="732">
        <f t="shared" si="30"/>
        <v>0</v>
      </c>
      <c r="K91" s="732">
        <f t="shared" si="30"/>
        <v>0</v>
      </c>
      <c r="L91" s="732">
        <f t="shared" si="30"/>
        <v>98300</v>
      </c>
      <c r="M91" s="732">
        <f t="shared" si="30"/>
        <v>98300</v>
      </c>
      <c r="N91" s="732">
        <f t="shared" si="30"/>
        <v>0</v>
      </c>
      <c r="O91" s="732">
        <f>SUM(O92:O94)</f>
        <v>0</v>
      </c>
      <c r="P91" s="732">
        <f t="shared" si="30"/>
        <v>0</v>
      </c>
    </row>
    <row r="92" spans="1:16" ht="21" customHeight="1" thickTop="1">
      <c r="A92" s="67"/>
      <c r="B92" s="273"/>
      <c r="C92" s="96" t="s">
        <v>215</v>
      </c>
      <c r="D92" s="270" t="s">
        <v>213</v>
      </c>
      <c r="E92" s="200">
        <v>28000</v>
      </c>
      <c r="F92" s="246">
        <v>28000</v>
      </c>
      <c r="G92" s="264">
        <f>I92+L92</f>
        <v>30000</v>
      </c>
      <c r="H92" s="248">
        <f t="shared" si="25"/>
        <v>1.0714285714285714</v>
      </c>
      <c r="I92" s="200">
        <f>J92+K92</f>
        <v>0</v>
      </c>
      <c r="J92" s="200"/>
      <c r="K92" s="200"/>
      <c r="L92" s="200">
        <f>SUM(M92:P92)</f>
        <v>30000</v>
      </c>
      <c r="M92" s="200">
        <v>30000</v>
      </c>
      <c r="N92" s="200"/>
      <c r="O92" s="200"/>
      <c r="P92" s="200"/>
    </row>
    <row r="93" spans="1:16" ht="21" customHeight="1">
      <c r="A93" s="65"/>
      <c r="B93" s="30"/>
      <c r="C93" s="74" t="s">
        <v>216</v>
      </c>
      <c r="D93" s="20" t="s">
        <v>217</v>
      </c>
      <c r="E93" s="82">
        <v>68000</v>
      </c>
      <c r="F93" s="240">
        <v>60200</v>
      </c>
      <c r="G93" s="263">
        <f>I93+L93</f>
        <v>63300</v>
      </c>
      <c r="H93" s="248">
        <f t="shared" si="25"/>
        <v>1.0514950166112957</v>
      </c>
      <c r="I93" s="82">
        <f>J93+K93</f>
        <v>0</v>
      </c>
      <c r="J93" s="82"/>
      <c r="K93" s="82"/>
      <c r="L93" s="81">
        <f>SUM(M93:P93)</f>
        <v>63300</v>
      </c>
      <c r="M93" s="82">
        <v>63300</v>
      </c>
      <c r="N93" s="82"/>
      <c r="O93" s="82"/>
      <c r="P93" s="82"/>
    </row>
    <row r="94" spans="1:16" ht="27.75" customHeight="1" thickBot="1">
      <c r="A94" s="65"/>
      <c r="B94" s="736"/>
      <c r="C94" s="756" t="s">
        <v>472</v>
      </c>
      <c r="D94" s="737" t="s">
        <v>473</v>
      </c>
      <c r="E94" s="738">
        <v>4000</v>
      </c>
      <c r="F94" s="739">
        <v>4500</v>
      </c>
      <c r="G94" s="740">
        <f>I94+L94</f>
        <v>5000</v>
      </c>
      <c r="H94" s="741">
        <f t="shared" si="25"/>
        <v>1.1111111111111112</v>
      </c>
      <c r="I94" s="738">
        <f>J94+K94</f>
        <v>0</v>
      </c>
      <c r="J94" s="738"/>
      <c r="K94" s="738"/>
      <c r="L94" s="738">
        <f aca="true" t="shared" si="31" ref="L94:L106">SUM(M94:P94)</f>
        <v>5000</v>
      </c>
      <c r="M94" s="738">
        <v>5000</v>
      </c>
      <c r="N94" s="738"/>
      <c r="O94" s="738"/>
      <c r="P94" s="738"/>
    </row>
    <row r="95" spans="1:16" s="61" customFormat="1" ht="31.5" thickBot="1" thickTop="1">
      <c r="A95" s="182"/>
      <c r="B95" s="730">
        <v>75621</v>
      </c>
      <c r="C95" s="729"/>
      <c r="D95" s="731" t="s">
        <v>218</v>
      </c>
      <c r="E95" s="732">
        <f aca="true" t="shared" si="32" ref="E95:P95">SUM(E96:E97)</f>
        <v>1811568</v>
      </c>
      <c r="F95" s="733">
        <f>SUM(F96:F97)</f>
        <v>1815768</v>
      </c>
      <c r="G95" s="734">
        <f t="shared" si="32"/>
        <v>1998825</v>
      </c>
      <c r="H95" s="735">
        <f t="shared" si="25"/>
        <v>1.10081519224923</v>
      </c>
      <c r="I95" s="732">
        <f t="shared" si="32"/>
        <v>0</v>
      </c>
      <c r="J95" s="732">
        <f t="shared" si="32"/>
        <v>0</v>
      </c>
      <c r="K95" s="732">
        <f t="shared" si="32"/>
        <v>0</v>
      </c>
      <c r="L95" s="760">
        <f t="shared" si="31"/>
        <v>1998825</v>
      </c>
      <c r="M95" s="732">
        <f t="shared" si="32"/>
        <v>0</v>
      </c>
      <c r="N95" s="732">
        <f t="shared" si="32"/>
        <v>0</v>
      </c>
      <c r="O95" s="732">
        <f>SUM(O96:O97)</f>
        <v>0</v>
      </c>
      <c r="P95" s="732">
        <f t="shared" si="32"/>
        <v>1998825</v>
      </c>
    </row>
    <row r="96" spans="1:16" ht="21" customHeight="1" thickTop="1">
      <c r="A96" s="65"/>
      <c r="B96" s="95"/>
      <c r="C96" s="96" t="s">
        <v>537</v>
      </c>
      <c r="D96" s="116" t="s">
        <v>219</v>
      </c>
      <c r="E96" s="98">
        <v>1793568</v>
      </c>
      <c r="F96" s="241">
        <f>E96</f>
        <v>1793568</v>
      </c>
      <c r="G96" s="264">
        <f>I96+L96</f>
        <v>1978825</v>
      </c>
      <c r="H96" s="248">
        <f t="shared" si="25"/>
        <v>1.1032896438830309</v>
      </c>
      <c r="I96" s="200">
        <f>J96+K96</f>
        <v>0</v>
      </c>
      <c r="J96" s="98"/>
      <c r="K96" s="98"/>
      <c r="L96" s="200">
        <f t="shared" si="31"/>
        <v>1978825</v>
      </c>
      <c r="M96" s="98"/>
      <c r="N96" s="98"/>
      <c r="O96" s="98"/>
      <c r="P96" s="283">
        <v>1978825</v>
      </c>
    </row>
    <row r="97" spans="1:16" ht="21" customHeight="1" thickBot="1">
      <c r="A97" s="67"/>
      <c r="B97" s="72"/>
      <c r="C97" s="75" t="s">
        <v>538</v>
      </c>
      <c r="D97" s="45" t="s">
        <v>220</v>
      </c>
      <c r="E97" s="81">
        <v>18000</v>
      </c>
      <c r="F97" s="245">
        <v>22200</v>
      </c>
      <c r="G97" s="267">
        <f>I97+L97</f>
        <v>20000</v>
      </c>
      <c r="H97" s="282">
        <f t="shared" si="25"/>
        <v>0.9009009009009009</v>
      </c>
      <c r="I97" s="81">
        <f>J97+K97</f>
        <v>0</v>
      </c>
      <c r="J97" s="81"/>
      <c r="K97" s="81"/>
      <c r="L97" s="81">
        <f t="shared" si="31"/>
        <v>20000</v>
      </c>
      <c r="M97" s="81"/>
      <c r="N97" s="81"/>
      <c r="O97" s="81"/>
      <c r="P97" s="81">
        <v>20000</v>
      </c>
    </row>
    <row r="98" spans="1:16" ht="26.25" customHeight="1" thickBot="1">
      <c r="A98" s="692">
        <v>758</v>
      </c>
      <c r="B98" s="688"/>
      <c r="C98" s="693"/>
      <c r="D98" s="688" t="s">
        <v>262</v>
      </c>
      <c r="E98" s="689">
        <f aca="true" t="shared" si="33" ref="E98:P98">E99+E101+E105+E103</f>
        <v>3950659</v>
      </c>
      <c r="F98" s="694">
        <f>F99+F101+F105+F103</f>
        <v>3954459</v>
      </c>
      <c r="G98" s="690">
        <f t="shared" si="33"/>
        <v>4570464</v>
      </c>
      <c r="H98" s="261">
        <f t="shared" si="25"/>
        <v>1.1557747848694346</v>
      </c>
      <c r="I98" s="689">
        <f t="shared" si="33"/>
        <v>0</v>
      </c>
      <c r="J98" s="689">
        <f t="shared" si="33"/>
        <v>0</v>
      </c>
      <c r="K98" s="689">
        <f t="shared" si="33"/>
        <v>0</v>
      </c>
      <c r="L98" s="689">
        <f t="shared" si="33"/>
        <v>4570464</v>
      </c>
      <c r="M98" s="689">
        <f t="shared" si="33"/>
        <v>0</v>
      </c>
      <c r="N98" s="689">
        <f t="shared" si="33"/>
        <v>4552066</v>
      </c>
      <c r="O98" s="689">
        <f>O99+O101+O105+O103</f>
        <v>0</v>
      </c>
      <c r="P98" s="691">
        <f t="shared" si="33"/>
        <v>18398</v>
      </c>
    </row>
    <row r="99" spans="1:16" ht="32.25" customHeight="1" thickBot="1">
      <c r="A99" s="197"/>
      <c r="B99" s="750">
        <v>75801</v>
      </c>
      <c r="C99" s="761"/>
      <c r="D99" s="762" t="s">
        <v>244</v>
      </c>
      <c r="E99" s="763">
        <f aca="true" t="shared" si="34" ref="E99:P99">E100</f>
        <v>3084182</v>
      </c>
      <c r="F99" s="764">
        <f t="shared" si="34"/>
        <v>3084182</v>
      </c>
      <c r="G99" s="765">
        <f t="shared" si="34"/>
        <v>3131522</v>
      </c>
      <c r="H99" s="754">
        <f t="shared" si="25"/>
        <v>1.0153492887255031</v>
      </c>
      <c r="I99" s="763">
        <f t="shared" si="34"/>
        <v>0</v>
      </c>
      <c r="J99" s="763">
        <f t="shared" si="34"/>
        <v>0</v>
      </c>
      <c r="K99" s="763">
        <f t="shared" si="34"/>
        <v>0</v>
      </c>
      <c r="L99" s="763">
        <f t="shared" si="31"/>
        <v>3131522</v>
      </c>
      <c r="M99" s="763">
        <f t="shared" si="34"/>
        <v>0</v>
      </c>
      <c r="N99" s="763">
        <f t="shared" si="34"/>
        <v>3131522</v>
      </c>
      <c r="O99" s="763">
        <f t="shared" si="34"/>
        <v>0</v>
      </c>
      <c r="P99" s="763">
        <f t="shared" si="34"/>
        <v>0</v>
      </c>
    </row>
    <row r="100" spans="1:16" ht="26.25" customHeight="1" thickBot="1" thickTop="1">
      <c r="A100" s="67"/>
      <c r="B100" s="779"/>
      <c r="C100" s="780" t="s">
        <v>245</v>
      </c>
      <c r="D100" s="781" t="s">
        <v>246</v>
      </c>
      <c r="E100" s="745">
        <v>3084182</v>
      </c>
      <c r="F100" s="746">
        <f>E100</f>
        <v>3084182</v>
      </c>
      <c r="G100" s="747">
        <f>I100+L100</f>
        <v>3131522</v>
      </c>
      <c r="H100" s="748">
        <f t="shared" si="25"/>
        <v>1.0153492887255031</v>
      </c>
      <c r="I100" s="745">
        <f>J100+K100</f>
        <v>0</v>
      </c>
      <c r="J100" s="745"/>
      <c r="K100" s="745"/>
      <c r="L100" s="745">
        <f t="shared" si="31"/>
        <v>3131522</v>
      </c>
      <c r="M100" s="745"/>
      <c r="N100" s="745">
        <v>3131522</v>
      </c>
      <c r="O100" s="745"/>
      <c r="P100" s="745"/>
    </row>
    <row r="101" spans="1:16" ht="34.5" customHeight="1" thickBot="1" thickTop="1">
      <c r="A101" s="67"/>
      <c r="B101" s="730">
        <v>75807</v>
      </c>
      <c r="C101" s="775"/>
      <c r="D101" s="776" t="s">
        <v>247</v>
      </c>
      <c r="E101" s="760">
        <f aca="true" t="shared" si="35" ref="E101:P101">E102</f>
        <v>832462</v>
      </c>
      <c r="F101" s="777">
        <f t="shared" si="35"/>
        <v>832462</v>
      </c>
      <c r="G101" s="778">
        <f t="shared" si="35"/>
        <v>1407250</v>
      </c>
      <c r="H101" s="735">
        <f t="shared" si="25"/>
        <v>1.6904675528732842</v>
      </c>
      <c r="I101" s="760">
        <f t="shared" si="35"/>
        <v>0</v>
      </c>
      <c r="J101" s="760">
        <f t="shared" si="35"/>
        <v>0</v>
      </c>
      <c r="K101" s="760">
        <f t="shared" si="35"/>
        <v>0</v>
      </c>
      <c r="L101" s="760">
        <f t="shared" si="31"/>
        <v>1407250</v>
      </c>
      <c r="M101" s="760">
        <f t="shared" si="35"/>
        <v>0</v>
      </c>
      <c r="N101" s="760">
        <f t="shared" si="35"/>
        <v>1407250</v>
      </c>
      <c r="O101" s="760">
        <f t="shared" si="35"/>
        <v>0</v>
      </c>
      <c r="P101" s="760">
        <f t="shared" si="35"/>
        <v>0</v>
      </c>
    </row>
    <row r="102" spans="1:16" ht="28.5" customHeight="1" thickBot="1" thickTop="1">
      <c r="A102" s="67"/>
      <c r="B102" s="779"/>
      <c r="C102" s="780" t="s">
        <v>245</v>
      </c>
      <c r="D102" s="781" t="s">
        <v>246</v>
      </c>
      <c r="E102" s="745">
        <v>832462</v>
      </c>
      <c r="F102" s="746">
        <f>E102</f>
        <v>832462</v>
      </c>
      <c r="G102" s="747">
        <f>I102+L102</f>
        <v>1407250</v>
      </c>
      <c r="H102" s="748">
        <f t="shared" si="25"/>
        <v>1.6904675528732842</v>
      </c>
      <c r="I102" s="745">
        <f>J102+K102</f>
        <v>0</v>
      </c>
      <c r="J102" s="745"/>
      <c r="K102" s="745"/>
      <c r="L102" s="745">
        <f t="shared" si="31"/>
        <v>1407250</v>
      </c>
      <c r="M102" s="745"/>
      <c r="N102" s="745">
        <v>1407250</v>
      </c>
      <c r="O102" s="745"/>
      <c r="P102" s="745"/>
    </row>
    <row r="103" spans="1:16" ht="24" customHeight="1" thickBot="1" thickTop="1">
      <c r="A103" s="67"/>
      <c r="B103" s="730">
        <v>75814</v>
      </c>
      <c r="C103" s="775"/>
      <c r="D103" s="731" t="s">
        <v>249</v>
      </c>
      <c r="E103" s="760">
        <f aca="true" t="shared" si="36" ref="E103:P103">E104</f>
        <v>14000</v>
      </c>
      <c r="F103" s="777">
        <f t="shared" si="36"/>
        <v>17800</v>
      </c>
      <c r="G103" s="778">
        <f t="shared" si="36"/>
        <v>18398</v>
      </c>
      <c r="H103" s="735">
        <f t="shared" si="25"/>
        <v>1.0335955056179775</v>
      </c>
      <c r="I103" s="760">
        <f t="shared" si="36"/>
        <v>0</v>
      </c>
      <c r="J103" s="760">
        <f t="shared" si="36"/>
        <v>0</v>
      </c>
      <c r="K103" s="760">
        <f t="shared" si="36"/>
        <v>0</v>
      </c>
      <c r="L103" s="760">
        <f t="shared" si="31"/>
        <v>18398</v>
      </c>
      <c r="M103" s="760">
        <f t="shared" si="36"/>
        <v>0</v>
      </c>
      <c r="N103" s="760">
        <f t="shared" si="36"/>
        <v>0</v>
      </c>
      <c r="O103" s="760">
        <f t="shared" si="36"/>
        <v>0</v>
      </c>
      <c r="P103" s="760">
        <f t="shared" si="36"/>
        <v>18398</v>
      </c>
    </row>
    <row r="104" spans="1:16" ht="23.25" customHeight="1" thickBot="1" thickTop="1">
      <c r="A104" s="67"/>
      <c r="B104" s="779"/>
      <c r="C104" s="780" t="s">
        <v>177</v>
      </c>
      <c r="D104" s="781" t="s">
        <v>178</v>
      </c>
      <c r="E104" s="745">
        <v>14000</v>
      </c>
      <c r="F104" s="746">
        <f>17800</f>
        <v>17800</v>
      </c>
      <c r="G104" s="747">
        <f>I104+L104</f>
        <v>18398</v>
      </c>
      <c r="H104" s="748">
        <f t="shared" si="25"/>
        <v>1.0335955056179775</v>
      </c>
      <c r="I104" s="745"/>
      <c r="J104" s="745"/>
      <c r="K104" s="745"/>
      <c r="L104" s="745">
        <f t="shared" si="31"/>
        <v>18398</v>
      </c>
      <c r="M104" s="745"/>
      <c r="N104" s="745"/>
      <c r="O104" s="745"/>
      <c r="P104" s="745">
        <f>5340+2000+8260+2798</f>
        <v>18398</v>
      </c>
    </row>
    <row r="105" spans="1:16" ht="31.5" customHeight="1" thickBot="1" thickTop="1">
      <c r="A105" s="67"/>
      <c r="B105" s="730">
        <v>75831</v>
      </c>
      <c r="C105" s="775"/>
      <c r="D105" s="776" t="s">
        <v>248</v>
      </c>
      <c r="E105" s="760">
        <f aca="true" t="shared" si="37" ref="E105:P105">E106</f>
        <v>20015</v>
      </c>
      <c r="F105" s="777">
        <f t="shared" si="37"/>
        <v>20015</v>
      </c>
      <c r="G105" s="778">
        <f t="shared" si="37"/>
        <v>13294</v>
      </c>
      <c r="H105" s="735">
        <f t="shared" si="25"/>
        <v>0.6642018486135398</v>
      </c>
      <c r="I105" s="760">
        <f t="shared" si="37"/>
        <v>0</v>
      </c>
      <c r="J105" s="760">
        <f t="shared" si="37"/>
        <v>0</v>
      </c>
      <c r="K105" s="760">
        <f t="shared" si="37"/>
        <v>0</v>
      </c>
      <c r="L105" s="760">
        <f t="shared" si="31"/>
        <v>13294</v>
      </c>
      <c r="M105" s="760">
        <f t="shared" si="37"/>
        <v>0</v>
      </c>
      <c r="N105" s="760">
        <f t="shared" si="37"/>
        <v>13294</v>
      </c>
      <c r="O105" s="760">
        <f t="shared" si="37"/>
        <v>0</v>
      </c>
      <c r="P105" s="760">
        <f t="shared" si="37"/>
        <v>0</v>
      </c>
    </row>
    <row r="106" spans="1:16" ht="26.25" customHeight="1" thickTop="1">
      <c r="A106" s="217"/>
      <c r="B106" s="186"/>
      <c r="C106" s="844" t="s">
        <v>245</v>
      </c>
      <c r="D106" s="845" t="s">
        <v>246</v>
      </c>
      <c r="E106" s="188">
        <v>20015</v>
      </c>
      <c r="F106" s="244">
        <f>E106</f>
        <v>20015</v>
      </c>
      <c r="G106" s="280">
        <f>I106+L106</f>
        <v>13294</v>
      </c>
      <c r="H106" s="281">
        <f t="shared" si="25"/>
        <v>0.6642018486135398</v>
      </c>
      <c r="I106" s="188">
        <f>J106+K106</f>
        <v>0</v>
      </c>
      <c r="J106" s="188"/>
      <c r="K106" s="188"/>
      <c r="L106" s="188">
        <f t="shared" si="31"/>
        <v>13294</v>
      </c>
      <c r="M106" s="188"/>
      <c r="N106" s="188">
        <v>13294</v>
      </c>
      <c r="O106" s="188"/>
      <c r="P106" s="188"/>
    </row>
    <row r="107" spans="1:16" ht="40.5" customHeight="1">
      <c r="A107" s="85"/>
      <c r="B107" s="4"/>
      <c r="C107" s="79"/>
      <c r="D107" s="5"/>
      <c r="E107" s="92"/>
      <c r="F107" s="92"/>
      <c r="G107" s="285"/>
      <c r="H107" s="138"/>
      <c r="I107" s="92"/>
      <c r="J107" s="92"/>
      <c r="K107" s="92"/>
      <c r="L107" s="92"/>
      <c r="M107" s="92"/>
      <c r="N107" s="92"/>
      <c r="O107" s="92"/>
      <c r="P107" s="92"/>
    </row>
    <row r="108" spans="1:16" s="46" customFormat="1" ht="9" thickBot="1">
      <c r="A108" s="86">
        <v>1</v>
      </c>
      <c r="B108" s="86">
        <v>2</v>
      </c>
      <c r="C108" s="86">
        <v>3</v>
      </c>
      <c r="D108" s="86">
        <v>4</v>
      </c>
      <c r="E108" s="86">
        <v>5</v>
      </c>
      <c r="F108" s="243">
        <v>6</v>
      </c>
      <c r="G108" s="284">
        <v>5</v>
      </c>
      <c r="H108" s="251">
        <v>8</v>
      </c>
      <c r="I108" s="86">
        <v>6</v>
      </c>
      <c r="J108" s="86">
        <v>7</v>
      </c>
      <c r="K108" s="86">
        <v>8</v>
      </c>
      <c r="L108" s="86">
        <v>9</v>
      </c>
      <c r="M108" s="86">
        <v>10</v>
      </c>
      <c r="N108" s="86">
        <v>11</v>
      </c>
      <c r="O108" s="86">
        <v>12</v>
      </c>
      <c r="P108" s="86">
        <v>13</v>
      </c>
    </row>
    <row r="109" spans="1:16" s="62" customFormat="1" ht="24.75" customHeight="1" thickBot="1">
      <c r="A109" s="687">
        <v>801</v>
      </c>
      <c r="B109" s="688"/>
      <c r="C109" s="688"/>
      <c r="D109" s="688" t="s">
        <v>263</v>
      </c>
      <c r="E109" s="689">
        <f>E110+E112</f>
        <v>22226</v>
      </c>
      <c r="F109" s="689">
        <f>F110+F112</f>
        <v>22226</v>
      </c>
      <c r="G109" s="690">
        <f>G110+G112</f>
        <v>8685</v>
      </c>
      <c r="H109" s="261">
        <f t="shared" si="25"/>
        <v>0.3907585710429227</v>
      </c>
      <c r="I109" s="689">
        <f>I110+I112</f>
        <v>0</v>
      </c>
      <c r="J109" s="689">
        <f aca="true" t="shared" si="38" ref="J109:P109">J110+J112</f>
        <v>0</v>
      </c>
      <c r="K109" s="689">
        <f t="shared" si="38"/>
        <v>0</v>
      </c>
      <c r="L109" s="689">
        <f t="shared" si="38"/>
        <v>8685</v>
      </c>
      <c r="M109" s="689">
        <f t="shared" si="38"/>
        <v>0</v>
      </c>
      <c r="N109" s="689">
        <f t="shared" si="38"/>
        <v>8685</v>
      </c>
      <c r="O109" s="689">
        <f t="shared" si="38"/>
        <v>0</v>
      </c>
      <c r="P109" s="691">
        <f t="shared" si="38"/>
        <v>0</v>
      </c>
    </row>
    <row r="110" spans="1:16" s="61" customFormat="1" ht="24.75" customHeight="1" thickBot="1">
      <c r="A110" s="182"/>
      <c r="B110" s="750">
        <v>80101</v>
      </c>
      <c r="C110" s="749"/>
      <c r="D110" s="750" t="s">
        <v>252</v>
      </c>
      <c r="E110" s="751">
        <f>SUM(E111:E111)</f>
        <v>5848</v>
      </c>
      <c r="F110" s="751">
        <f>SUM(F111:F111)</f>
        <v>5848</v>
      </c>
      <c r="G110" s="753">
        <f>SUM(G111:G111)</f>
        <v>8685</v>
      </c>
      <c r="H110" s="754">
        <f t="shared" si="25"/>
        <v>1.4851231190150478</v>
      </c>
      <c r="I110" s="751">
        <f aca="true" t="shared" si="39" ref="I110:P110">SUM(I111:I111)</f>
        <v>0</v>
      </c>
      <c r="J110" s="751">
        <f t="shared" si="39"/>
        <v>0</v>
      </c>
      <c r="K110" s="751">
        <f t="shared" si="39"/>
        <v>0</v>
      </c>
      <c r="L110" s="751">
        <f t="shared" si="39"/>
        <v>8685</v>
      </c>
      <c r="M110" s="751">
        <f t="shared" si="39"/>
        <v>0</v>
      </c>
      <c r="N110" s="751">
        <f t="shared" si="39"/>
        <v>8685</v>
      </c>
      <c r="O110" s="751">
        <f t="shared" si="39"/>
        <v>0</v>
      </c>
      <c r="P110" s="751">
        <f t="shared" si="39"/>
        <v>0</v>
      </c>
    </row>
    <row r="111" spans="1:16" ht="27" customHeight="1" thickBot="1" thickTop="1">
      <c r="A111" s="217"/>
      <c r="B111" s="186"/>
      <c r="C111" s="220" t="s">
        <v>264</v>
      </c>
      <c r="D111" s="290" t="s">
        <v>265</v>
      </c>
      <c r="E111" s="188">
        <v>5848</v>
      </c>
      <c r="F111" s="244">
        <v>5848</v>
      </c>
      <c r="G111" s="280">
        <f>I111+L111</f>
        <v>8685</v>
      </c>
      <c r="H111" s="281">
        <f t="shared" si="25"/>
        <v>1.4851231190150478</v>
      </c>
      <c r="I111" s="188"/>
      <c r="J111" s="188"/>
      <c r="K111" s="188"/>
      <c r="L111" s="188">
        <f>SUM(M111:P111)</f>
        <v>8685</v>
      </c>
      <c r="M111" s="188"/>
      <c r="N111" s="188">
        <v>8685</v>
      </c>
      <c r="O111" s="188"/>
      <c r="P111" s="188"/>
    </row>
    <row r="112" spans="1:16" s="61" customFormat="1" ht="26.25" customHeight="1" hidden="1">
      <c r="A112" s="182"/>
      <c r="B112" s="412">
        <v>80195</v>
      </c>
      <c r="C112" s="413"/>
      <c r="D112" s="412" t="s">
        <v>173</v>
      </c>
      <c r="E112" s="414">
        <f>E113</f>
        <v>16378</v>
      </c>
      <c r="F112" s="415">
        <f>F113</f>
        <v>16378</v>
      </c>
      <c r="G112" s="416">
        <f>G113</f>
        <v>0</v>
      </c>
      <c r="H112" s="281">
        <f t="shared" si="25"/>
        <v>0</v>
      </c>
      <c r="I112" s="414">
        <f aca="true" t="shared" si="40" ref="I112:P112">I113</f>
        <v>0</v>
      </c>
      <c r="J112" s="414">
        <f t="shared" si="40"/>
        <v>0</v>
      </c>
      <c r="K112" s="414">
        <f t="shared" si="40"/>
        <v>0</v>
      </c>
      <c r="L112" s="414">
        <f t="shared" si="40"/>
        <v>0</v>
      </c>
      <c r="M112" s="414">
        <f t="shared" si="40"/>
        <v>0</v>
      </c>
      <c r="N112" s="414">
        <f t="shared" si="40"/>
        <v>0</v>
      </c>
      <c r="O112" s="414">
        <f t="shared" si="40"/>
        <v>0</v>
      </c>
      <c r="P112" s="414">
        <f t="shared" si="40"/>
        <v>0</v>
      </c>
    </row>
    <row r="113" spans="1:16" ht="25.5" hidden="1">
      <c r="A113" s="67"/>
      <c r="B113" s="273"/>
      <c r="C113" s="274" t="s">
        <v>264</v>
      </c>
      <c r="D113" s="275" t="s">
        <v>265</v>
      </c>
      <c r="E113" s="200">
        <v>16378</v>
      </c>
      <c r="F113" s="246">
        <v>16378</v>
      </c>
      <c r="G113" s="707"/>
      <c r="H113" s="249">
        <f t="shared" si="25"/>
        <v>0</v>
      </c>
      <c r="I113" s="200"/>
      <c r="J113" s="200"/>
      <c r="K113" s="200"/>
      <c r="L113" s="200"/>
      <c r="M113" s="200"/>
      <c r="N113" s="200"/>
      <c r="O113" s="200"/>
      <c r="P113" s="200"/>
    </row>
    <row r="114" spans="1:16" s="62" customFormat="1" ht="23.25" customHeight="1" thickBot="1">
      <c r="A114" s="687">
        <v>851</v>
      </c>
      <c r="B114" s="688"/>
      <c r="C114" s="688"/>
      <c r="D114" s="688" t="s">
        <v>266</v>
      </c>
      <c r="E114" s="689">
        <f aca="true" t="shared" si="41" ref="E114:P114">E115</f>
        <v>0</v>
      </c>
      <c r="F114" s="694">
        <f t="shared" si="41"/>
        <v>0</v>
      </c>
      <c r="G114" s="690">
        <f t="shared" si="41"/>
        <v>2465000</v>
      </c>
      <c r="H114" s="261"/>
      <c r="I114" s="689">
        <f t="shared" si="41"/>
        <v>2465000</v>
      </c>
      <c r="J114" s="689">
        <f t="shared" si="41"/>
        <v>2465000</v>
      </c>
      <c r="K114" s="689">
        <f t="shared" si="41"/>
        <v>0</v>
      </c>
      <c r="L114" s="689">
        <f t="shared" si="41"/>
        <v>0</v>
      </c>
      <c r="M114" s="689">
        <f t="shared" si="41"/>
        <v>0</v>
      </c>
      <c r="N114" s="689">
        <f t="shared" si="41"/>
        <v>0</v>
      </c>
      <c r="O114" s="689">
        <f t="shared" si="41"/>
        <v>0</v>
      </c>
      <c r="P114" s="691">
        <f t="shared" si="41"/>
        <v>0</v>
      </c>
    </row>
    <row r="115" spans="1:16" s="61" customFormat="1" ht="23.25" customHeight="1" thickBot="1">
      <c r="A115" s="182"/>
      <c r="B115" s="750">
        <v>85121</v>
      </c>
      <c r="C115" s="749"/>
      <c r="D115" s="750" t="s">
        <v>267</v>
      </c>
      <c r="E115" s="752">
        <f>E119</f>
        <v>0</v>
      </c>
      <c r="F115" s="752">
        <f>F119</f>
        <v>0</v>
      </c>
      <c r="G115" s="753">
        <f>G119</f>
        <v>2465000</v>
      </c>
      <c r="H115" s="754"/>
      <c r="I115" s="751">
        <f>I119</f>
        <v>2465000</v>
      </c>
      <c r="J115" s="751">
        <f aca="true" t="shared" si="42" ref="J115:P115">J119</f>
        <v>2465000</v>
      </c>
      <c r="K115" s="751">
        <f t="shared" si="42"/>
        <v>0</v>
      </c>
      <c r="L115" s="751">
        <f t="shared" si="42"/>
        <v>0</v>
      </c>
      <c r="M115" s="751">
        <f t="shared" si="42"/>
        <v>0</v>
      </c>
      <c r="N115" s="751">
        <f t="shared" si="42"/>
        <v>0</v>
      </c>
      <c r="O115" s="751">
        <f t="shared" si="42"/>
        <v>0</v>
      </c>
      <c r="P115" s="751">
        <f t="shared" si="42"/>
        <v>0</v>
      </c>
    </row>
    <row r="116" spans="1:16" s="61" customFormat="1" ht="9" customHeight="1" hidden="1">
      <c r="A116" s="68"/>
      <c r="B116" s="77"/>
      <c r="C116" s="96" t="s">
        <v>404</v>
      </c>
      <c r="D116" s="277" t="s">
        <v>253</v>
      </c>
      <c r="E116" s="98"/>
      <c r="F116" s="241"/>
      <c r="G116" s="264">
        <f>I116+L116</f>
        <v>0</v>
      </c>
      <c r="H116" s="248"/>
      <c r="I116" s="200">
        <f>J116+K116</f>
        <v>0</v>
      </c>
      <c r="J116" s="181"/>
      <c r="K116" s="181"/>
      <c r="L116" s="181"/>
      <c r="M116" s="181"/>
      <c r="N116" s="181"/>
      <c r="O116" s="181"/>
      <c r="P116" s="181"/>
    </row>
    <row r="117" spans="1:16" ht="9" customHeight="1" hidden="1">
      <c r="A117" s="85"/>
      <c r="B117" s="4"/>
      <c r="C117" s="79"/>
      <c r="D117" s="5"/>
      <c r="E117" s="92"/>
      <c r="F117" s="286"/>
      <c r="G117" s="285"/>
      <c r="H117" s="287"/>
      <c r="I117" s="286"/>
      <c r="J117" s="92"/>
      <c r="K117" s="92"/>
      <c r="L117" s="92"/>
      <c r="M117" s="92"/>
      <c r="N117" s="92"/>
      <c r="O117" s="92"/>
      <c r="P117" s="92"/>
    </row>
    <row r="118" spans="1:16" s="46" customFormat="1" ht="8.25" hidden="1">
      <c r="A118" s="86">
        <v>1</v>
      </c>
      <c r="B118" s="86">
        <v>2</v>
      </c>
      <c r="C118" s="86">
        <v>3</v>
      </c>
      <c r="D118" s="86">
        <v>4</v>
      </c>
      <c r="E118" s="86">
        <v>5</v>
      </c>
      <c r="F118" s="243">
        <v>6</v>
      </c>
      <c r="G118" s="284">
        <v>7</v>
      </c>
      <c r="H118" s="251">
        <v>8</v>
      </c>
      <c r="I118" s="86">
        <v>9</v>
      </c>
      <c r="J118" s="86">
        <v>10</v>
      </c>
      <c r="K118" s="86">
        <v>11</v>
      </c>
      <c r="L118" s="86">
        <v>12</v>
      </c>
      <c r="M118" s="86">
        <v>13</v>
      </c>
      <c r="N118" s="86">
        <v>14</v>
      </c>
      <c r="O118" s="86">
        <v>15</v>
      </c>
      <c r="P118" s="86">
        <v>16</v>
      </c>
    </row>
    <row r="119" spans="1:16" ht="39.75" thickBot="1" thickTop="1">
      <c r="A119" s="708"/>
      <c r="B119" s="709"/>
      <c r="C119" s="709">
        <v>6298</v>
      </c>
      <c r="D119" s="710" t="s">
        <v>229</v>
      </c>
      <c r="E119" s="112"/>
      <c r="F119" s="695"/>
      <c r="G119" s="696">
        <f>I119+L119</f>
        <v>2465000</v>
      </c>
      <c r="H119" s="697"/>
      <c r="I119" s="112">
        <f>J119+K119</f>
        <v>2465000</v>
      </c>
      <c r="J119" s="711">
        <v>2465000</v>
      </c>
      <c r="K119" s="112"/>
      <c r="L119" s="112"/>
      <c r="M119" s="112"/>
      <c r="N119" s="112"/>
      <c r="O119" s="112"/>
      <c r="P119" s="112"/>
    </row>
    <row r="120" spans="1:16" s="62" customFormat="1" ht="24.75" customHeight="1" thickBot="1">
      <c r="A120" s="712">
        <v>852</v>
      </c>
      <c r="B120" s="713"/>
      <c r="C120" s="713"/>
      <c r="D120" s="713" t="s">
        <v>221</v>
      </c>
      <c r="E120" s="689">
        <f>E121+E124+E126+E130+E132+E134</f>
        <v>2423600</v>
      </c>
      <c r="F120" s="694">
        <f>F121+F124+F126+F130+F132+F134</f>
        <v>2423600</v>
      </c>
      <c r="G120" s="690">
        <f>G121+G124+G126+G130+G132+G134</f>
        <v>2527400</v>
      </c>
      <c r="H120" s="261">
        <f t="shared" si="25"/>
        <v>1.0428288496451559</v>
      </c>
      <c r="I120" s="689">
        <f aca="true" t="shared" si="43" ref="I120:P120">I121+I124+I126+I130+I132+I134</f>
        <v>0</v>
      </c>
      <c r="J120" s="689">
        <f t="shared" si="43"/>
        <v>0</v>
      </c>
      <c r="K120" s="689">
        <f t="shared" si="43"/>
        <v>0</v>
      </c>
      <c r="L120" s="689">
        <f t="shared" si="43"/>
        <v>2527400</v>
      </c>
      <c r="M120" s="689">
        <f t="shared" si="43"/>
        <v>0</v>
      </c>
      <c r="N120" s="689">
        <f t="shared" si="43"/>
        <v>685900</v>
      </c>
      <c r="O120" s="689">
        <f t="shared" si="43"/>
        <v>1819000</v>
      </c>
      <c r="P120" s="691">
        <f t="shared" si="43"/>
        <v>22500</v>
      </c>
    </row>
    <row r="121" spans="1:16" s="61" customFormat="1" ht="28.5" customHeight="1" thickBot="1">
      <c r="A121" s="182"/>
      <c r="B121" s="768">
        <v>85212</v>
      </c>
      <c r="C121" s="769"/>
      <c r="D121" s="770" t="s">
        <v>256</v>
      </c>
      <c r="E121" s="751">
        <f aca="true" t="shared" si="44" ref="E121:P121">SUM(E122:E123)</f>
        <v>1581000</v>
      </c>
      <c r="F121" s="752">
        <f>SUM(F122:F123)</f>
        <v>1581000</v>
      </c>
      <c r="G121" s="753">
        <f t="shared" si="44"/>
        <v>1602000</v>
      </c>
      <c r="H121" s="754">
        <f t="shared" si="25"/>
        <v>1.0132827324478177</v>
      </c>
      <c r="I121" s="751">
        <f t="shared" si="44"/>
        <v>0</v>
      </c>
      <c r="J121" s="751">
        <f t="shared" si="44"/>
        <v>0</v>
      </c>
      <c r="K121" s="751">
        <f t="shared" si="44"/>
        <v>0</v>
      </c>
      <c r="L121" s="751">
        <f t="shared" si="44"/>
        <v>1602000</v>
      </c>
      <c r="M121" s="751">
        <f t="shared" si="44"/>
        <v>0</v>
      </c>
      <c r="N121" s="751">
        <f t="shared" si="44"/>
        <v>0</v>
      </c>
      <c r="O121" s="751">
        <f>SUM(O122:O123)</f>
        <v>1599000</v>
      </c>
      <c r="P121" s="751">
        <f t="shared" si="44"/>
        <v>3000</v>
      </c>
    </row>
    <row r="122" spans="1:16" ht="41.25" customHeight="1" thickTop="1">
      <c r="A122" s="65"/>
      <c r="B122" s="95"/>
      <c r="C122" s="96" t="s">
        <v>234</v>
      </c>
      <c r="D122" s="276" t="s">
        <v>235</v>
      </c>
      <c r="E122" s="98">
        <v>1578000</v>
      </c>
      <c r="F122" s="241">
        <v>1578000</v>
      </c>
      <c r="G122" s="264">
        <f>I122+L122</f>
        <v>1599000</v>
      </c>
      <c r="H122" s="248">
        <f t="shared" si="25"/>
        <v>1.0133079847908746</v>
      </c>
      <c r="I122" s="200">
        <f>J122+K122</f>
        <v>0</v>
      </c>
      <c r="J122" s="98"/>
      <c r="K122" s="98"/>
      <c r="L122" s="98">
        <f>SUM(M122:P122)</f>
        <v>1599000</v>
      </c>
      <c r="M122" s="98"/>
      <c r="N122" s="98"/>
      <c r="O122" s="98">
        <v>1599000</v>
      </c>
      <c r="P122" s="98"/>
    </row>
    <row r="123" spans="1:16" ht="39" thickBot="1">
      <c r="A123" s="65"/>
      <c r="B123" s="736"/>
      <c r="C123" s="756" t="s">
        <v>242</v>
      </c>
      <c r="D123" s="737" t="s">
        <v>243</v>
      </c>
      <c r="E123" s="738">
        <v>3000</v>
      </c>
      <c r="F123" s="739">
        <v>3000</v>
      </c>
      <c r="G123" s="740">
        <f>I123+L123</f>
        <v>3000</v>
      </c>
      <c r="H123" s="741">
        <f t="shared" si="25"/>
        <v>1</v>
      </c>
      <c r="I123" s="738">
        <f>J123+K123</f>
        <v>0</v>
      </c>
      <c r="J123" s="738"/>
      <c r="K123" s="738"/>
      <c r="L123" s="738">
        <f>SUM(M123:P123)</f>
        <v>3000</v>
      </c>
      <c r="M123" s="738"/>
      <c r="N123" s="738"/>
      <c r="O123" s="738"/>
      <c r="P123" s="738">
        <v>3000</v>
      </c>
    </row>
    <row r="124" spans="1:16" s="61" customFormat="1" ht="44.25" customHeight="1" thickBot="1" thickTop="1">
      <c r="A124" s="68"/>
      <c r="B124" s="771">
        <v>85213</v>
      </c>
      <c r="C124" s="772"/>
      <c r="D124" s="773" t="s">
        <v>257</v>
      </c>
      <c r="E124" s="732">
        <f aca="true" t="shared" si="45" ref="E124:P124">E125</f>
        <v>18000</v>
      </c>
      <c r="F124" s="733">
        <f t="shared" si="45"/>
        <v>18000</v>
      </c>
      <c r="G124" s="734">
        <f t="shared" si="45"/>
        <v>20000</v>
      </c>
      <c r="H124" s="735">
        <f t="shared" si="25"/>
        <v>1.1111111111111112</v>
      </c>
      <c r="I124" s="732">
        <f t="shared" si="45"/>
        <v>0</v>
      </c>
      <c r="J124" s="732">
        <f t="shared" si="45"/>
        <v>0</v>
      </c>
      <c r="K124" s="732">
        <f t="shared" si="45"/>
        <v>0</v>
      </c>
      <c r="L124" s="732">
        <f t="shared" si="45"/>
        <v>20000</v>
      </c>
      <c r="M124" s="732">
        <f t="shared" si="45"/>
        <v>0</v>
      </c>
      <c r="N124" s="732">
        <f t="shared" si="45"/>
        <v>0</v>
      </c>
      <c r="O124" s="732">
        <f t="shared" si="45"/>
        <v>20000</v>
      </c>
      <c r="P124" s="732">
        <f t="shared" si="45"/>
        <v>0</v>
      </c>
    </row>
    <row r="125" spans="1:16" ht="39.75" thickBot="1" thickTop="1">
      <c r="A125" s="65"/>
      <c r="B125" s="742"/>
      <c r="C125" s="743" t="s">
        <v>234</v>
      </c>
      <c r="D125" s="757" t="s">
        <v>235</v>
      </c>
      <c r="E125" s="745">
        <v>18000</v>
      </c>
      <c r="F125" s="746">
        <v>18000</v>
      </c>
      <c r="G125" s="747">
        <f>I125+L125</f>
        <v>20000</v>
      </c>
      <c r="H125" s="748">
        <f t="shared" si="25"/>
        <v>1.1111111111111112</v>
      </c>
      <c r="I125" s="745">
        <f>J125+K125</f>
        <v>0</v>
      </c>
      <c r="J125" s="745"/>
      <c r="K125" s="745"/>
      <c r="L125" s="745">
        <f>SUM(M125:P125)</f>
        <v>20000</v>
      </c>
      <c r="M125" s="745"/>
      <c r="N125" s="745"/>
      <c r="O125" s="745">
        <v>20000</v>
      </c>
      <c r="P125" s="745"/>
    </row>
    <row r="126" spans="1:16" s="61" customFormat="1" ht="27" customHeight="1" thickBot="1" thickTop="1">
      <c r="A126" s="93"/>
      <c r="B126" s="771">
        <v>85214</v>
      </c>
      <c r="C126" s="772"/>
      <c r="D126" s="773" t="s">
        <v>258</v>
      </c>
      <c r="E126" s="732">
        <f aca="true" t="shared" si="46" ref="E126:P126">SUM(E127:E129)</f>
        <v>545000</v>
      </c>
      <c r="F126" s="733">
        <f>SUM(F127:F129)</f>
        <v>545000</v>
      </c>
      <c r="G126" s="734">
        <f t="shared" si="46"/>
        <v>680500</v>
      </c>
      <c r="H126" s="735">
        <f t="shared" si="25"/>
        <v>1.2486238532110092</v>
      </c>
      <c r="I126" s="732">
        <f t="shared" si="46"/>
        <v>0</v>
      </c>
      <c r="J126" s="732">
        <f t="shared" si="46"/>
        <v>0</v>
      </c>
      <c r="K126" s="732">
        <f t="shared" si="46"/>
        <v>0</v>
      </c>
      <c r="L126" s="732">
        <f t="shared" si="46"/>
        <v>680500</v>
      </c>
      <c r="M126" s="732">
        <f t="shared" si="46"/>
        <v>0</v>
      </c>
      <c r="N126" s="732">
        <f t="shared" si="46"/>
        <v>477000</v>
      </c>
      <c r="O126" s="732">
        <f t="shared" si="46"/>
        <v>200000</v>
      </c>
      <c r="P126" s="732">
        <f t="shared" si="46"/>
        <v>3500</v>
      </c>
    </row>
    <row r="127" spans="1:16" ht="25.5" customHeight="1" thickTop="1">
      <c r="A127" s="65"/>
      <c r="B127" s="95"/>
      <c r="C127" s="289" t="s">
        <v>177</v>
      </c>
      <c r="D127" s="291" t="s">
        <v>178</v>
      </c>
      <c r="E127" s="98">
        <v>7000</v>
      </c>
      <c r="F127" s="241">
        <v>7000</v>
      </c>
      <c r="G127" s="264">
        <f>I127+L127</f>
        <v>3500</v>
      </c>
      <c r="H127" s="248">
        <f t="shared" si="25"/>
        <v>0.5</v>
      </c>
      <c r="I127" s="200">
        <f>J127+K127</f>
        <v>0</v>
      </c>
      <c r="J127" s="98"/>
      <c r="K127" s="98"/>
      <c r="L127" s="98">
        <f>SUM(M127:P127)</f>
        <v>3500</v>
      </c>
      <c r="M127" s="98"/>
      <c r="N127" s="98"/>
      <c r="O127" s="98"/>
      <c r="P127" s="98">
        <v>3500</v>
      </c>
    </row>
    <row r="128" spans="1:16" ht="42.75" customHeight="1">
      <c r="A128" s="65"/>
      <c r="B128" s="30"/>
      <c r="C128" s="74" t="s">
        <v>234</v>
      </c>
      <c r="D128" s="232" t="s">
        <v>235</v>
      </c>
      <c r="E128" s="82">
        <v>189000</v>
      </c>
      <c r="F128" s="240">
        <v>189000</v>
      </c>
      <c r="G128" s="263">
        <f>I128+L128</f>
        <v>200000</v>
      </c>
      <c r="H128" s="248">
        <f>G128/F128</f>
        <v>1.0582010582010581</v>
      </c>
      <c r="I128" s="81">
        <f>J128+K128</f>
        <v>0</v>
      </c>
      <c r="J128" s="82"/>
      <c r="K128" s="82"/>
      <c r="L128" s="82">
        <f>SUM(M128:P128)</f>
        <v>200000</v>
      </c>
      <c r="M128" s="82"/>
      <c r="N128" s="82"/>
      <c r="O128" s="82">
        <v>200000</v>
      </c>
      <c r="P128" s="82"/>
    </row>
    <row r="129" spans="1:16" ht="26.25" thickBot="1">
      <c r="A129" s="65"/>
      <c r="B129" s="736"/>
      <c r="C129" s="756" t="s">
        <v>264</v>
      </c>
      <c r="D129" s="774" t="s">
        <v>265</v>
      </c>
      <c r="E129" s="738">
        <v>349000</v>
      </c>
      <c r="F129" s="739">
        <v>349000</v>
      </c>
      <c r="G129" s="740">
        <f>I129+L129</f>
        <v>477000</v>
      </c>
      <c r="H129" s="741">
        <f t="shared" si="25"/>
        <v>1.3667621776504297</v>
      </c>
      <c r="I129" s="738">
        <f>J129+K129</f>
        <v>0</v>
      </c>
      <c r="J129" s="738"/>
      <c r="K129" s="738"/>
      <c r="L129" s="738">
        <f>SUM(M129:P129)</f>
        <v>477000</v>
      </c>
      <c r="M129" s="738"/>
      <c r="N129" s="738">
        <v>477000</v>
      </c>
      <c r="O129" s="738"/>
      <c r="P129" s="738"/>
    </row>
    <row r="130" spans="1:16" s="61" customFormat="1" ht="24" customHeight="1" thickBot="1" thickTop="1">
      <c r="A130" s="68"/>
      <c r="B130" s="771">
        <v>85219</v>
      </c>
      <c r="C130" s="772"/>
      <c r="D130" s="771" t="s">
        <v>222</v>
      </c>
      <c r="E130" s="732">
        <f aca="true" t="shared" si="47" ref="E130:P130">E131</f>
        <v>136000</v>
      </c>
      <c r="F130" s="733">
        <f t="shared" si="47"/>
        <v>136000</v>
      </c>
      <c r="G130" s="734">
        <f t="shared" si="47"/>
        <v>129900</v>
      </c>
      <c r="H130" s="735">
        <f t="shared" si="25"/>
        <v>0.9551470588235295</v>
      </c>
      <c r="I130" s="732">
        <f t="shared" si="47"/>
        <v>0</v>
      </c>
      <c r="J130" s="732">
        <f t="shared" si="47"/>
        <v>0</v>
      </c>
      <c r="K130" s="732">
        <f t="shared" si="47"/>
        <v>0</v>
      </c>
      <c r="L130" s="732">
        <f t="shared" si="47"/>
        <v>129900</v>
      </c>
      <c r="M130" s="732">
        <f t="shared" si="47"/>
        <v>0</v>
      </c>
      <c r="N130" s="732">
        <f t="shared" si="47"/>
        <v>129900</v>
      </c>
      <c r="O130" s="732">
        <f t="shared" si="47"/>
        <v>0</v>
      </c>
      <c r="P130" s="732">
        <f t="shared" si="47"/>
        <v>0</v>
      </c>
    </row>
    <row r="131" spans="1:16" ht="26.25" customHeight="1" thickBot="1" thickTop="1">
      <c r="A131" s="65"/>
      <c r="B131" s="742"/>
      <c r="C131" s="743" t="s">
        <v>264</v>
      </c>
      <c r="D131" s="744" t="s">
        <v>265</v>
      </c>
      <c r="E131" s="745">
        <v>136000</v>
      </c>
      <c r="F131" s="746">
        <v>136000</v>
      </c>
      <c r="G131" s="747">
        <f>I131+L131</f>
        <v>129900</v>
      </c>
      <c r="H131" s="748">
        <f t="shared" si="25"/>
        <v>0.9551470588235295</v>
      </c>
      <c r="I131" s="745">
        <f>J131+K131</f>
        <v>0</v>
      </c>
      <c r="J131" s="745"/>
      <c r="K131" s="745"/>
      <c r="L131" s="745">
        <f>SUM(M131:P131)</f>
        <v>129900</v>
      </c>
      <c r="M131" s="745"/>
      <c r="N131" s="745">
        <v>129900</v>
      </c>
      <c r="O131" s="745"/>
      <c r="P131" s="745"/>
    </row>
    <row r="132" spans="1:16" s="61" customFormat="1" ht="30" customHeight="1" thickBot="1" thickTop="1">
      <c r="A132" s="68"/>
      <c r="B132" s="771">
        <v>85228</v>
      </c>
      <c r="C132" s="772"/>
      <c r="D132" s="773" t="s">
        <v>223</v>
      </c>
      <c r="E132" s="732">
        <f aca="true" t="shared" si="48" ref="E132:O132">E133</f>
        <v>13000</v>
      </c>
      <c r="F132" s="733">
        <f t="shared" si="48"/>
        <v>13000</v>
      </c>
      <c r="G132" s="734">
        <f t="shared" si="48"/>
        <v>16000</v>
      </c>
      <c r="H132" s="735">
        <f t="shared" si="25"/>
        <v>1.2307692307692308</v>
      </c>
      <c r="I132" s="732">
        <f t="shared" si="48"/>
        <v>0</v>
      </c>
      <c r="J132" s="732">
        <f t="shared" si="48"/>
        <v>0</v>
      </c>
      <c r="K132" s="732">
        <f t="shared" si="48"/>
        <v>0</v>
      </c>
      <c r="L132" s="732">
        <f t="shared" si="48"/>
        <v>16000</v>
      </c>
      <c r="M132" s="732">
        <f t="shared" si="48"/>
        <v>0</v>
      </c>
      <c r="N132" s="732">
        <f t="shared" si="48"/>
        <v>0</v>
      </c>
      <c r="O132" s="732">
        <f t="shared" si="48"/>
        <v>0</v>
      </c>
      <c r="P132" s="732">
        <f>P133</f>
        <v>16000</v>
      </c>
    </row>
    <row r="133" spans="1:16" ht="20.25" customHeight="1" thickBot="1" thickTop="1">
      <c r="A133" s="67"/>
      <c r="B133" s="742"/>
      <c r="C133" s="743" t="s">
        <v>174</v>
      </c>
      <c r="D133" s="783" t="s">
        <v>224</v>
      </c>
      <c r="E133" s="745">
        <v>13000</v>
      </c>
      <c r="F133" s="746">
        <v>13000</v>
      </c>
      <c r="G133" s="747">
        <f>I133+L133</f>
        <v>16000</v>
      </c>
      <c r="H133" s="748">
        <f t="shared" si="25"/>
        <v>1.2307692307692308</v>
      </c>
      <c r="I133" s="745">
        <f>J133+K133</f>
        <v>0</v>
      </c>
      <c r="J133" s="745"/>
      <c r="K133" s="745"/>
      <c r="L133" s="745">
        <f>SUM(M133:P133)</f>
        <v>16000</v>
      </c>
      <c r="M133" s="745"/>
      <c r="N133" s="745"/>
      <c r="O133" s="745"/>
      <c r="P133" s="745">
        <v>16000</v>
      </c>
    </row>
    <row r="134" spans="1:16" s="61" customFormat="1" ht="18.75" customHeight="1" thickBot="1" thickTop="1">
      <c r="A134" s="68"/>
      <c r="B134" s="771">
        <v>85295</v>
      </c>
      <c r="C134" s="772"/>
      <c r="D134" s="782" t="s">
        <v>173</v>
      </c>
      <c r="E134" s="732">
        <f aca="true" t="shared" si="49" ref="E134:P134">E135</f>
        <v>130600</v>
      </c>
      <c r="F134" s="733">
        <f t="shared" si="49"/>
        <v>130600</v>
      </c>
      <c r="G134" s="734">
        <f t="shared" si="49"/>
        <v>79000</v>
      </c>
      <c r="H134" s="735">
        <f t="shared" si="25"/>
        <v>0.6049004594180705</v>
      </c>
      <c r="I134" s="732">
        <f t="shared" si="49"/>
        <v>0</v>
      </c>
      <c r="J134" s="732">
        <f t="shared" si="49"/>
        <v>0</v>
      </c>
      <c r="K134" s="732">
        <f t="shared" si="49"/>
        <v>0</v>
      </c>
      <c r="L134" s="732">
        <f t="shared" si="49"/>
        <v>79000</v>
      </c>
      <c r="M134" s="732">
        <f t="shared" si="49"/>
        <v>0</v>
      </c>
      <c r="N134" s="732">
        <f t="shared" si="49"/>
        <v>79000</v>
      </c>
      <c r="O134" s="732">
        <f t="shared" si="49"/>
        <v>0</v>
      </c>
      <c r="P134" s="732">
        <f t="shared" si="49"/>
        <v>0</v>
      </c>
    </row>
    <row r="135" spans="1:16" ht="26.25" thickTop="1">
      <c r="A135" s="217"/>
      <c r="B135" s="186"/>
      <c r="C135" s="220" t="s">
        <v>264</v>
      </c>
      <c r="D135" s="279" t="s">
        <v>265</v>
      </c>
      <c r="E135" s="188">
        <f>101300+29300</f>
        <v>130600</v>
      </c>
      <c r="F135" s="244">
        <v>130600</v>
      </c>
      <c r="G135" s="280">
        <f>I135+L135</f>
        <v>79000</v>
      </c>
      <c r="H135" s="281">
        <f t="shared" si="25"/>
        <v>0.6049004594180705</v>
      </c>
      <c r="I135" s="188">
        <f>J135+K135</f>
        <v>0</v>
      </c>
      <c r="J135" s="188"/>
      <c r="K135" s="188"/>
      <c r="L135" s="188">
        <f>SUM(M135:P135)</f>
        <v>79000</v>
      </c>
      <c r="M135" s="188"/>
      <c r="N135" s="188">
        <v>79000</v>
      </c>
      <c r="O135" s="188"/>
      <c r="P135" s="188"/>
    </row>
    <row r="136" spans="1:16" s="78" customFormat="1" ht="15" hidden="1">
      <c r="A136" s="253">
        <v>854</v>
      </c>
      <c r="B136" s="253"/>
      <c r="C136" s="255"/>
      <c r="D136" s="254" t="s">
        <v>268</v>
      </c>
      <c r="E136" s="256">
        <f aca="true" t="shared" si="50" ref="E136:P137">E137</f>
        <v>170223</v>
      </c>
      <c r="F136" s="257">
        <f t="shared" si="50"/>
        <v>170223</v>
      </c>
      <c r="G136" s="268">
        <f t="shared" si="50"/>
        <v>0</v>
      </c>
      <c r="H136" s="252">
        <f t="shared" si="25"/>
        <v>0</v>
      </c>
      <c r="I136" s="256">
        <f t="shared" si="50"/>
        <v>0</v>
      </c>
      <c r="J136" s="256">
        <f t="shared" si="50"/>
        <v>0</v>
      </c>
      <c r="K136" s="256">
        <f t="shared" si="50"/>
        <v>0</v>
      </c>
      <c r="L136" s="256">
        <f t="shared" si="50"/>
        <v>0</v>
      </c>
      <c r="M136" s="256">
        <f t="shared" si="50"/>
        <v>0</v>
      </c>
      <c r="N136" s="256">
        <f t="shared" si="50"/>
        <v>0</v>
      </c>
      <c r="O136" s="256">
        <f t="shared" si="50"/>
        <v>0</v>
      </c>
      <c r="P136" s="256">
        <f t="shared" si="50"/>
        <v>0</v>
      </c>
    </row>
    <row r="137" spans="1:16" ht="18.75" customHeight="1" hidden="1">
      <c r="A137" s="197"/>
      <c r="B137" s="198">
        <v>85415</v>
      </c>
      <c r="C137" s="96"/>
      <c r="D137" s="199" t="s">
        <v>259</v>
      </c>
      <c r="E137" s="200">
        <f t="shared" si="50"/>
        <v>170223</v>
      </c>
      <c r="F137" s="246">
        <f t="shared" si="50"/>
        <v>170223</v>
      </c>
      <c r="G137" s="266">
        <f t="shared" si="50"/>
        <v>0</v>
      </c>
      <c r="H137" s="248">
        <f t="shared" si="25"/>
        <v>0</v>
      </c>
      <c r="I137" s="200">
        <f t="shared" si="50"/>
        <v>0</v>
      </c>
      <c r="J137" s="200">
        <f t="shared" si="50"/>
        <v>0</v>
      </c>
      <c r="K137" s="200">
        <f t="shared" si="50"/>
        <v>0</v>
      </c>
      <c r="L137" s="200">
        <f t="shared" si="50"/>
        <v>0</v>
      </c>
      <c r="M137" s="200">
        <f t="shared" si="50"/>
        <v>0</v>
      </c>
      <c r="N137" s="200">
        <f t="shared" si="50"/>
        <v>0</v>
      </c>
      <c r="O137" s="200">
        <f t="shared" si="50"/>
        <v>0</v>
      </c>
      <c r="P137" s="200">
        <f t="shared" si="50"/>
        <v>0</v>
      </c>
    </row>
    <row r="138" spans="1:16" ht="25.5" hidden="1">
      <c r="A138" s="67"/>
      <c r="B138" s="80"/>
      <c r="C138" s="72">
        <v>2030</v>
      </c>
      <c r="D138" s="59" t="s">
        <v>265</v>
      </c>
      <c r="E138" s="81">
        <v>170223</v>
      </c>
      <c r="F138" s="245">
        <f>E138</f>
        <v>170223</v>
      </c>
      <c r="G138" s="267">
        <f>I138+L138</f>
        <v>0</v>
      </c>
      <c r="H138" s="249">
        <f aca="true" t="shared" si="51" ref="H138:H145">G138/F138</f>
        <v>0</v>
      </c>
      <c r="I138" s="81"/>
      <c r="J138" s="81"/>
      <c r="K138" s="81"/>
      <c r="L138" s="81">
        <f>SUM(M138:P138)</f>
        <v>0</v>
      </c>
      <c r="M138" s="81"/>
      <c r="N138" s="81"/>
      <c r="O138" s="81"/>
      <c r="P138" s="81"/>
    </row>
    <row r="139" spans="1:16" ht="14.25" customHeight="1">
      <c r="A139" s="85"/>
      <c r="B139" s="4"/>
      <c r="C139" s="79"/>
      <c r="D139" s="5"/>
      <c r="E139" s="92"/>
      <c r="F139" s="286"/>
      <c r="G139" s="285"/>
      <c r="H139" s="287"/>
      <c r="I139" s="286"/>
      <c r="J139" s="92"/>
      <c r="K139" s="92"/>
      <c r="L139" s="92"/>
      <c r="M139" s="92"/>
      <c r="N139" s="92"/>
      <c r="O139" s="92"/>
      <c r="P139" s="92"/>
    </row>
    <row r="140" spans="1:16" s="46" customFormat="1" ht="9" thickBot="1">
      <c r="A140" s="700">
        <v>1</v>
      </c>
      <c r="B140" s="700">
        <v>2</v>
      </c>
      <c r="C140" s="700">
        <v>3</v>
      </c>
      <c r="D140" s="700">
        <v>4</v>
      </c>
      <c r="E140" s="700">
        <v>5</v>
      </c>
      <c r="F140" s="701">
        <v>6</v>
      </c>
      <c r="G140" s="702">
        <v>5</v>
      </c>
      <c r="H140" s="703">
        <v>8</v>
      </c>
      <c r="I140" s="700">
        <v>6</v>
      </c>
      <c r="J140" s="700">
        <v>7</v>
      </c>
      <c r="K140" s="700">
        <v>8</v>
      </c>
      <c r="L140" s="700">
        <v>9</v>
      </c>
      <c r="M140" s="700">
        <v>10</v>
      </c>
      <c r="N140" s="700">
        <v>11</v>
      </c>
      <c r="O140" s="700">
        <v>12</v>
      </c>
      <c r="P140" s="700">
        <v>13</v>
      </c>
    </row>
    <row r="141" spans="1:16" s="78" customFormat="1" ht="30.75" thickBot="1">
      <c r="A141" s="715">
        <v>900</v>
      </c>
      <c r="B141" s="716"/>
      <c r="C141" s="717"/>
      <c r="D141" s="718" t="s">
        <v>269</v>
      </c>
      <c r="E141" s="719">
        <f>E142+E144+E149+E146</f>
        <v>150365</v>
      </c>
      <c r="F141" s="720">
        <f>F142+F144+F149+F146</f>
        <v>150365</v>
      </c>
      <c r="G141" s="721">
        <f>G142+G144+G149+G146</f>
        <v>705000</v>
      </c>
      <c r="H141" s="261">
        <f t="shared" si="51"/>
        <v>4.688591095002161</v>
      </c>
      <c r="I141" s="719">
        <f aca="true" t="shared" si="52" ref="I141:P141">I142+I144+I149+I146</f>
        <v>705000</v>
      </c>
      <c r="J141" s="719">
        <f t="shared" si="52"/>
        <v>705000</v>
      </c>
      <c r="K141" s="719">
        <f t="shared" si="52"/>
        <v>0</v>
      </c>
      <c r="L141" s="719">
        <f t="shared" si="52"/>
        <v>0</v>
      </c>
      <c r="M141" s="719">
        <f t="shared" si="52"/>
        <v>0</v>
      </c>
      <c r="N141" s="719">
        <f t="shared" si="52"/>
        <v>0</v>
      </c>
      <c r="O141" s="719">
        <f t="shared" si="52"/>
        <v>0</v>
      </c>
      <c r="P141" s="722">
        <f t="shared" si="52"/>
        <v>0</v>
      </c>
    </row>
    <row r="142" spans="1:16" ht="18.75" customHeight="1" hidden="1">
      <c r="A142" s="197"/>
      <c r="B142" s="601">
        <v>90001</v>
      </c>
      <c r="C142" s="220"/>
      <c r="D142" s="714" t="s">
        <v>270</v>
      </c>
      <c r="E142" s="188">
        <f>E143</f>
        <v>120000</v>
      </c>
      <c r="F142" s="244">
        <f>F143</f>
        <v>120000</v>
      </c>
      <c r="G142" s="280">
        <f>G143</f>
        <v>0</v>
      </c>
      <c r="H142" s="281">
        <f t="shared" si="51"/>
        <v>0</v>
      </c>
      <c r="I142" s="188">
        <f aca="true" t="shared" si="53" ref="I142:P142">I143</f>
        <v>0</v>
      </c>
      <c r="J142" s="188">
        <f t="shared" si="53"/>
        <v>0</v>
      </c>
      <c r="K142" s="188">
        <f t="shared" si="53"/>
        <v>0</v>
      </c>
      <c r="L142" s="188">
        <f t="shared" si="53"/>
        <v>0</v>
      </c>
      <c r="M142" s="188">
        <f t="shared" si="53"/>
        <v>0</v>
      </c>
      <c r="N142" s="188">
        <f t="shared" si="53"/>
        <v>0</v>
      </c>
      <c r="O142" s="188">
        <f t="shared" si="53"/>
        <v>0</v>
      </c>
      <c r="P142" s="188">
        <f t="shared" si="53"/>
        <v>0</v>
      </c>
    </row>
    <row r="143" spans="1:16" ht="38.25" hidden="1">
      <c r="A143" s="65"/>
      <c r="B143" s="273"/>
      <c r="C143" s="274" t="s">
        <v>230</v>
      </c>
      <c r="D143" s="275" t="s">
        <v>228</v>
      </c>
      <c r="E143" s="200">
        <v>120000</v>
      </c>
      <c r="F143" s="246">
        <v>120000</v>
      </c>
      <c r="G143" s="266">
        <f>I143+L143</f>
        <v>0</v>
      </c>
      <c r="H143" s="249">
        <f t="shared" si="51"/>
        <v>0</v>
      </c>
      <c r="I143" s="200"/>
      <c r="J143" s="200">
        <f>G143</f>
        <v>0</v>
      </c>
      <c r="K143" s="200"/>
      <c r="L143" s="200">
        <f>SUM(M143:P143)</f>
        <v>0</v>
      </c>
      <c r="M143" s="200"/>
      <c r="N143" s="200"/>
      <c r="O143" s="200"/>
      <c r="P143" s="200"/>
    </row>
    <row r="144" spans="1:16" ht="17.25" customHeight="1" hidden="1">
      <c r="A144" s="65"/>
      <c r="B144" s="292">
        <v>90002</v>
      </c>
      <c r="C144" s="201"/>
      <c r="D144" s="278" t="s">
        <v>363</v>
      </c>
      <c r="E144" s="111">
        <f>E145</f>
        <v>26400</v>
      </c>
      <c r="F144" s="288">
        <f>F145</f>
        <v>26400</v>
      </c>
      <c r="G144" s="262">
        <f>G145</f>
        <v>0</v>
      </c>
      <c r="H144" s="247">
        <f t="shared" si="51"/>
        <v>0</v>
      </c>
      <c r="I144" s="111">
        <f aca="true" t="shared" si="54" ref="I144:P144">I145</f>
        <v>0</v>
      </c>
      <c r="J144" s="111">
        <f t="shared" si="54"/>
        <v>0</v>
      </c>
      <c r="K144" s="111">
        <f t="shared" si="54"/>
        <v>0</v>
      </c>
      <c r="L144" s="111">
        <f t="shared" si="54"/>
        <v>0</v>
      </c>
      <c r="M144" s="111">
        <f t="shared" si="54"/>
        <v>0</v>
      </c>
      <c r="N144" s="111">
        <f t="shared" si="54"/>
        <v>0</v>
      </c>
      <c r="O144" s="111">
        <f t="shared" si="54"/>
        <v>0</v>
      </c>
      <c r="P144" s="111">
        <f t="shared" si="54"/>
        <v>0</v>
      </c>
    </row>
    <row r="145" spans="1:16" ht="38.25" hidden="1">
      <c r="A145" s="65"/>
      <c r="B145" s="273"/>
      <c r="C145" s="274" t="s">
        <v>230</v>
      </c>
      <c r="D145" s="275" t="s">
        <v>228</v>
      </c>
      <c r="E145" s="200">
        <v>26400</v>
      </c>
      <c r="F145" s="246">
        <v>26400</v>
      </c>
      <c r="G145" s="266">
        <f>I145+L145</f>
        <v>0</v>
      </c>
      <c r="H145" s="249">
        <f t="shared" si="51"/>
        <v>0</v>
      </c>
      <c r="I145" s="200"/>
      <c r="J145" s="200">
        <f>G145</f>
        <v>0</v>
      </c>
      <c r="K145" s="200"/>
      <c r="L145" s="200">
        <f>SUM(M145:P145)</f>
        <v>0</v>
      </c>
      <c r="M145" s="200"/>
      <c r="N145" s="200"/>
      <c r="O145" s="200"/>
      <c r="P145" s="200"/>
    </row>
    <row r="146" spans="1:16" ht="26.25" customHeight="1" thickBot="1">
      <c r="A146" s="65"/>
      <c r="B146" s="784">
        <v>90005</v>
      </c>
      <c r="C146" s="785"/>
      <c r="D146" s="786" t="s">
        <v>361</v>
      </c>
      <c r="E146" s="759">
        <f>E147</f>
        <v>0</v>
      </c>
      <c r="F146" s="766">
        <f>F147</f>
        <v>0</v>
      </c>
      <c r="G146" s="767">
        <f>SUM(G147:G148)</f>
        <v>705000</v>
      </c>
      <c r="H146" s="728"/>
      <c r="I146" s="759">
        <f>SUM(I147:I148)</f>
        <v>705000</v>
      </c>
      <c r="J146" s="759">
        <f aca="true" t="shared" si="55" ref="J146:P146">SUM(J147:J148)</f>
        <v>705000</v>
      </c>
      <c r="K146" s="759">
        <f t="shared" si="55"/>
        <v>0</v>
      </c>
      <c r="L146" s="759">
        <f t="shared" si="55"/>
        <v>0</v>
      </c>
      <c r="M146" s="759">
        <f t="shared" si="55"/>
        <v>0</v>
      </c>
      <c r="N146" s="759">
        <f t="shared" si="55"/>
        <v>0</v>
      </c>
      <c r="O146" s="759">
        <f t="shared" si="55"/>
        <v>0</v>
      </c>
      <c r="P146" s="759">
        <f t="shared" si="55"/>
        <v>0</v>
      </c>
    </row>
    <row r="147" spans="1:16" ht="39" thickTop="1">
      <c r="A147" s="65"/>
      <c r="B147" s="95"/>
      <c r="C147" s="96" t="s">
        <v>230</v>
      </c>
      <c r="D147" s="97" t="s">
        <v>228</v>
      </c>
      <c r="E147" s="98"/>
      <c r="F147" s="241"/>
      <c r="G147" s="264">
        <f>I147+L147</f>
        <v>25000</v>
      </c>
      <c r="H147" s="248"/>
      <c r="I147" s="98">
        <f>J147+K147</f>
        <v>25000</v>
      </c>
      <c r="J147" s="98">
        <f>50000-25000</f>
        <v>25000</v>
      </c>
      <c r="K147" s="98"/>
      <c r="L147" s="98">
        <f>SUM(M147:P147)</f>
        <v>0</v>
      </c>
      <c r="M147" s="98"/>
      <c r="N147" s="98"/>
      <c r="O147" s="98"/>
      <c r="P147" s="98"/>
    </row>
    <row r="148" spans="1:16" ht="39" thickBot="1">
      <c r="A148" s="65"/>
      <c r="B148" s="72"/>
      <c r="C148" s="72">
        <v>6298</v>
      </c>
      <c r="D148" s="233" t="s">
        <v>229</v>
      </c>
      <c r="E148" s="81"/>
      <c r="F148" s="245"/>
      <c r="G148" s="267">
        <f>I148+L148</f>
        <v>680000</v>
      </c>
      <c r="H148" s="282"/>
      <c r="I148" s="81">
        <f>J148+K148</f>
        <v>680000</v>
      </c>
      <c r="J148" s="81">
        <f>200000+480000</f>
        <v>680000</v>
      </c>
      <c r="K148" s="81"/>
      <c r="L148" s="81">
        <f>SUM(M148:P148)</f>
        <v>0</v>
      </c>
      <c r="M148" s="81"/>
      <c r="N148" s="81"/>
      <c r="O148" s="81"/>
      <c r="P148" s="81"/>
    </row>
    <row r="149" spans="1:16" ht="26.25" customHeight="1" hidden="1">
      <c r="A149" s="197"/>
      <c r="B149" s="292">
        <v>90008</v>
      </c>
      <c r="C149" s="201"/>
      <c r="D149" s="278" t="s">
        <v>38</v>
      </c>
      <c r="E149" s="111">
        <f>E150</f>
        <v>3965</v>
      </c>
      <c r="F149" s="288">
        <f>F150</f>
        <v>3965</v>
      </c>
      <c r="G149" s="262">
        <f>G150</f>
        <v>0</v>
      </c>
      <c r="H149" s="247">
        <f>G149/F149</f>
        <v>0</v>
      </c>
      <c r="I149" s="111">
        <f aca="true" t="shared" si="56" ref="I149:P149">I150</f>
        <v>0</v>
      </c>
      <c r="J149" s="111">
        <f t="shared" si="56"/>
        <v>0</v>
      </c>
      <c r="K149" s="111">
        <f t="shared" si="56"/>
        <v>0</v>
      </c>
      <c r="L149" s="111">
        <f t="shared" si="56"/>
        <v>0</v>
      </c>
      <c r="M149" s="111">
        <f t="shared" si="56"/>
        <v>0</v>
      </c>
      <c r="N149" s="111">
        <f t="shared" si="56"/>
        <v>0</v>
      </c>
      <c r="O149" s="111">
        <f t="shared" si="56"/>
        <v>0</v>
      </c>
      <c r="P149" s="111">
        <f t="shared" si="56"/>
        <v>0</v>
      </c>
    </row>
    <row r="150" spans="1:16" ht="38.25" hidden="1">
      <c r="A150" s="67"/>
      <c r="B150" s="273"/>
      <c r="C150" s="274" t="s">
        <v>230</v>
      </c>
      <c r="D150" s="275" t="s">
        <v>228</v>
      </c>
      <c r="E150" s="200">
        <v>3965</v>
      </c>
      <c r="F150" s="246">
        <v>3965</v>
      </c>
      <c r="G150" s="266">
        <f>I150+L150</f>
        <v>0</v>
      </c>
      <c r="H150" s="249">
        <f>G150/F150</f>
        <v>0</v>
      </c>
      <c r="I150" s="200"/>
      <c r="J150" s="200">
        <f>G150</f>
        <v>0</v>
      </c>
      <c r="K150" s="200"/>
      <c r="L150" s="200">
        <f>SUM(M150:P150)</f>
        <v>0</v>
      </c>
      <c r="M150" s="200"/>
      <c r="N150" s="200"/>
      <c r="O150" s="200"/>
      <c r="P150" s="200"/>
    </row>
    <row r="151" spans="1:16" s="78" customFormat="1" ht="30.75" thickBot="1">
      <c r="A151" s="715">
        <v>921</v>
      </c>
      <c r="B151" s="717"/>
      <c r="C151" s="717"/>
      <c r="D151" s="718" t="s">
        <v>271</v>
      </c>
      <c r="E151" s="719">
        <f aca="true" t="shared" si="57" ref="E151:P151">E152+E154</f>
        <v>253620</v>
      </c>
      <c r="F151" s="720">
        <f>F152+F154</f>
        <v>253620</v>
      </c>
      <c r="G151" s="721">
        <f t="shared" si="57"/>
        <v>25000</v>
      </c>
      <c r="H151" s="261">
        <f>G151/F151</f>
        <v>0.09857266777068055</v>
      </c>
      <c r="I151" s="719">
        <f t="shared" si="57"/>
        <v>25000</v>
      </c>
      <c r="J151" s="719">
        <f t="shared" si="57"/>
        <v>25000</v>
      </c>
      <c r="K151" s="719">
        <f t="shared" si="57"/>
        <v>0</v>
      </c>
      <c r="L151" s="719">
        <f t="shared" si="57"/>
        <v>0</v>
      </c>
      <c r="M151" s="719">
        <f t="shared" si="57"/>
        <v>0</v>
      </c>
      <c r="N151" s="719">
        <f t="shared" si="57"/>
        <v>0</v>
      </c>
      <c r="O151" s="719">
        <f>O152+O154</f>
        <v>0</v>
      </c>
      <c r="P151" s="722">
        <f t="shared" si="57"/>
        <v>0</v>
      </c>
    </row>
    <row r="152" spans="1:16" ht="21" customHeight="1" hidden="1">
      <c r="A152" s="197"/>
      <c r="B152" s="601">
        <v>92109</v>
      </c>
      <c r="C152" s="220"/>
      <c r="D152" s="714" t="s">
        <v>272</v>
      </c>
      <c r="E152" s="188">
        <f aca="true" t="shared" si="58" ref="E152:P152">E153</f>
        <v>253620</v>
      </c>
      <c r="F152" s="244">
        <f t="shared" si="58"/>
        <v>253620</v>
      </c>
      <c r="G152" s="280">
        <f t="shared" si="58"/>
        <v>0</v>
      </c>
      <c r="H152" s="281"/>
      <c r="I152" s="188">
        <f t="shared" si="58"/>
        <v>0</v>
      </c>
      <c r="J152" s="188">
        <f t="shared" si="58"/>
        <v>0</v>
      </c>
      <c r="K152" s="188">
        <f t="shared" si="58"/>
        <v>0</v>
      </c>
      <c r="L152" s="188">
        <f t="shared" si="58"/>
        <v>0</v>
      </c>
      <c r="M152" s="188">
        <f t="shared" si="58"/>
        <v>0</v>
      </c>
      <c r="N152" s="188">
        <f t="shared" si="58"/>
        <v>0</v>
      </c>
      <c r="O152" s="188">
        <f t="shared" si="58"/>
        <v>0</v>
      </c>
      <c r="P152" s="188">
        <f t="shared" si="58"/>
        <v>0</v>
      </c>
    </row>
    <row r="153" spans="1:16" ht="38.25" hidden="1">
      <c r="A153" s="65"/>
      <c r="B153" s="273"/>
      <c r="C153" s="273">
        <v>6298</v>
      </c>
      <c r="D153" s="277" t="s">
        <v>229</v>
      </c>
      <c r="E153" s="200">
        <v>253620</v>
      </c>
      <c r="F153" s="246">
        <v>253620</v>
      </c>
      <c r="G153" s="266">
        <f>I153+L153</f>
        <v>0</v>
      </c>
      <c r="H153" s="249"/>
      <c r="I153" s="200">
        <f>J153+K153</f>
        <v>0</v>
      </c>
      <c r="J153" s="200"/>
      <c r="K153" s="200"/>
      <c r="L153" s="200">
        <f>SUM(M153:P153)</f>
        <v>0</v>
      </c>
      <c r="M153" s="200"/>
      <c r="N153" s="200"/>
      <c r="O153" s="200"/>
      <c r="P153" s="200"/>
    </row>
    <row r="154" spans="1:16" ht="27.75" customHeight="1" thickBot="1">
      <c r="A154" s="67"/>
      <c r="B154" s="784">
        <v>92116</v>
      </c>
      <c r="C154" s="785"/>
      <c r="D154" s="786" t="s">
        <v>275</v>
      </c>
      <c r="E154" s="759">
        <f aca="true" t="shared" si="59" ref="E154:P154">SUM(E155:E156)</f>
        <v>0</v>
      </c>
      <c r="F154" s="766">
        <f>SUM(F155:F156)</f>
        <v>0</v>
      </c>
      <c r="G154" s="767">
        <f t="shared" si="59"/>
        <v>25000</v>
      </c>
      <c r="H154" s="728"/>
      <c r="I154" s="759">
        <f t="shared" si="59"/>
        <v>25000</v>
      </c>
      <c r="J154" s="759">
        <f t="shared" si="59"/>
        <v>25000</v>
      </c>
      <c r="K154" s="759">
        <f t="shared" si="59"/>
        <v>0</v>
      </c>
      <c r="L154" s="759">
        <f t="shared" si="59"/>
        <v>0</v>
      </c>
      <c r="M154" s="759">
        <f t="shared" si="59"/>
        <v>0</v>
      </c>
      <c r="N154" s="759">
        <f t="shared" si="59"/>
        <v>0</v>
      </c>
      <c r="O154" s="759">
        <f>SUM(O155:O156)</f>
        <v>0</v>
      </c>
      <c r="P154" s="759">
        <f t="shared" si="59"/>
        <v>0</v>
      </c>
    </row>
    <row r="155" spans="1:16" ht="37.5" customHeight="1" thickBot="1" thickTop="1">
      <c r="A155" s="217"/>
      <c r="B155" s="601"/>
      <c r="C155" s="220" t="s">
        <v>405</v>
      </c>
      <c r="D155" s="290" t="s">
        <v>253</v>
      </c>
      <c r="E155" s="188"/>
      <c r="F155" s="244"/>
      <c r="G155" s="280">
        <f>I155+L155</f>
        <v>25000</v>
      </c>
      <c r="H155" s="281"/>
      <c r="I155" s="188">
        <f>J155+K155</f>
        <v>25000</v>
      </c>
      <c r="J155" s="188">
        <f>20000+5000</f>
        <v>25000</v>
      </c>
      <c r="K155" s="188"/>
      <c r="L155" s="188">
        <f>SUM(M155:P155)</f>
        <v>0</v>
      </c>
      <c r="M155" s="188"/>
      <c r="N155" s="188"/>
      <c r="O155" s="188"/>
      <c r="P155" s="188"/>
    </row>
    <row r="156" spans="1:16" ht="26.25" customHeight="1" hidden="1">
      <c r="A156" s="197"/>
      <c r="B156" s="273"/>
      <c r="C156" s="273">
        <v>6298</v>
      </c>
      <c r="D156" s="276" t="s">
        <v>229</v>
      </c>
      <c r="E156" s="98"/>
      <c r="F156" s="241"/>
      <c r="G156" s="264">
        <f>I156+L156</f>
        <v>0</v>
      </c>
      <c r="H156" s="249"/>
      <c r="I156" s="98">
        <f>J156+K156</f>
        <v>0</v>
      </c>
      <c r="J156" s="200"/>
      <c r="K156" s="200"/>
      <c r="L156" s="98">
        <f>SUM(M156:P156)</f>
        <v>0</v>
      </c>
      <c r="M156" s="200"/>
      <c r="N156" s="200"/>
      <c r="O156" s="200"/>
      <c r="P156" s="200"/>
    </row>
    <row r="157" spans="1:16" s="78" customFormat="1" ht="24.75" customHeight="1" thickBot="1">
      <c r="A157" s="715">
        <v>926</v>
      </c>
      <c r="B157" s="717"/>
      <c r="C157" s="717"/>
      <c r="D157" s="718" t="s">
        <v>373</v>
      </c>
      <c r="E157" s="719">
        <f>E158</f>
        <v>0</v>
      </c>
      <c r="F157" s="720">
        <f>F158</f>
        <v>0</v>
      </c>
      <c r="G157" s="721">
        <f>G158</f>
        <v>660000</v>
      </c>
      <c r="H157" s="261"/>
      <c r="I157" s="719">
        <f aca="true" t="shared" si="60" ref="I157:P157">I158</f>
        <v>660000</v>
      </c>
      <c r="J157" s="719">
        <f t="shared" si="60"/>
        <v>660000</v>
      </c>
      <c r="K157" s="719">
        <f t="shared" si="60"/>
        <v>0</v>
      </c>
      <c r="L157" s="719">
        <f t="shared" si="60"/>
        <v>0</v>
      </c>
      <c r="M157" s="719">
        <f t="shared" si="60"/>
        <v>0</v>
      </c>
      <c r="N157" s="719">
        <f t="shared" si="60"/>
        <v>0</v>
      </c>
      <c r="O157" s="719">
        <f t="shared" si="60"/>
        <v>0</v>
      </c>
      <c r="P157" s="722">
        <f t="shared" si="60"/>
        <v>0</v>
      </c>
    </row>
    <row r="158" spans="1:16" ht="29.25" customHeight="1" thickBot="1">
      <c r="A158" s="197"/>
      <c r="B158" s="787">
        <v>92601</v>
      </c>
      <c r="C158" s="788"/>
      <c r="D158" s="789" t="s">
        <v>535</v>
      </c>
      <c r="E158" s="763">
        <f>E160</f>
        <v>0</v>
      </c>
      <c r="F158" s="764">
        <f>F160</f>
        <v>0</v>
      </c>
      <c r="G158" s="765">
        <f>SUM(G159:G160)</f>
        <v>660000</v>
      </c>
      <c r="H158" s="754"/>
      <c r="I158" s="763">
        <f>SUM(I159:I160)</f>
        <v>660000</v>
      </c>
      <c r="J158" s="763">
        <f>SUM(J159:J160)</f>
        <v>660000</v>
      </c>
      <c r="K158" s="763">
        <f aca="true" t="shared" si="61" ref="K158:P158">SUM(K159:K160)</f>
        <v>0</v>
      </c>
      <c r="L158" s="763">
        <f t="shared" si="61"/>
        <v>0</v>
      </c>
      <c r="M158" s="763">
        <f t="shared" si="61"/>
        <v>0</v>
      </c>
      <c r="N158" s="763">
        <f t="shared" si="61"/>
        <v>0</v>
      </c>
      <c r="O158" s="763">
        <f t="shared" si="61"/>
        <v>0</v>
      </c>
      <c r="P158" s="763">
        <f t="shared" si="61"/>
        <v>0</v>
      </c>
    </row>
    <row r="159" spans="1:16" ht="38.25" hidden="1">
      <c r="A159" s="67"/>
      <c r="B159" s="198"/>
      <c r="C159" s="96" t="s">
        <v>405</v>
      </c>
      <c r="D159" s="277" t="s">
        <v>253</v>
      </c>
      <c r="E159" s="98"/>
      <c r="F159" s="241"/>
      <c r="G159" s="264">
        <f>I159+L159</f>
        <v>0</v>
      </c>
      <c r="H159" s="248"/>
      <c r="I159" s="98">
        <f>J159+K159</f>
        <v>0</v>
      </c>
      <c r="J159" s="200"/>
      <c r="K159" s="200"/>
      <c r="L159" s="98">
        <f>SUM(M159:P159)</f>
        <v>0</v>
      </c>
      <c r="M159" s="200"/>
      <c r="N159" s="200"/>
      <c r="O159" s="200"/>
      <c r="P159" s="200"/>
    </row>
    <row r="160" spans="1:16" ht="39.75" thickBot="1" thickTop="1">
      <c r="A160" s="65"/>
      <c r="B160" s="30"/>
      <c r="C160" s="30">
        <v>6290</v>
      </c>
      <c r="D160" s="232" t="s">
        <v>229</v>
      </c>
      <c r="E160" s="82"/>
      <c r="F160" s="240"/>
      <c r="G160" s="263">
        <f>I160+L160</f>
        <v>660000</v>
      </c>
      <c r="H160" s="248"/>
      <c r="I160" s="82">
        <f>J160+K160</f>
        <v>660000</v>
      </c>
      <c r="J160" s="82">
        <v>660000</v>
      </c>
      <c r="K160" s="82"/>
      <c r="L160" s="82">
        <f>SUM(M160:P160)</f>
        <v>0</v>
      </c>
      <c r="M160" s="82"/>
      <c r="N160" s="82"/>
      <c r="O160" s="82"/>
      <c r="P160" s="82"/>
    </row>
    <row r="161" spans="1:17" s="53" customFormat="1" ht="39.75" customHeight="1" thickBot="1">
      <c r="A161" s="863" t="s">
        <v>134</v>
      </c>
      <c r="B161" s="864"/>
      <c r="C161" s="864"/>
      <c r="D161" s="865"/>
      <c r="E161" s="258">
        <f>E7+E18+E22+E25+E32+E39+E47+E56+E61+E66+E98+E114+E120+E136+E141+E151+E109+E157</f>
        <v>18226556</v>
      </c>
      <c r="F161" s="259">
        <f>F7+F18+F22+F25+F32+F39+F47+F56+F61+F66+F98+F114+F120+F136+F141+F151+F109+F157</f>
        <v>17594174</v>
      </c>
      <c r="G161" s="260">
        <f>G7+G18+G22+G25+G32+G39+G47+G56+G61+G66+G98+G114+G120+G136+G141+G151+G109+G157</f>
        <v>24328339</v>
      </c>
      <c r="H161" s="261">
        <f>G161/F161</f>
        <v>1.3827497102165751</v>
      </c>
      <c r="I161" s="258">
        <f aca="true" t="shared" si="62" ref="I161:P161">I7+I18+I22+I25+I32+I39+I47+I56+I61+I66+I98+I114+I120+I136+I141+I151+I109+I157</f>
        <v>11424982</v>
      </c>
      <c r="J161" s="258">
        <f t="shared" si="62"/>
        <v>9548800</v>
      </c>
      <c r="K161" s="258">
        <f t="shared" si="62"/>
        <v>1876182</v>
      </c>
      <c r="L161" s="258">
        <f t="shared" si="62"/>
        <v>12903357</v>
      </c>
      <c r="M161" s="258">
        <f t="shared" si="62"/>
        <v>2685457</v>
      </c>
      <c r="N161" s="258">
        <f t="shared" si="62"/>
        <v>5283791</v>
      </c>
      <c r="O161" s="258">
        <f t="shared" si="62"/>
        <v>1888198</v>
      </c>
      <c r="P161" s="258">
        <f t="shared" si="62"/>
        <v>3045911</v>
      </c>
      <c r="Q161" s="99"/>
    </row>
    <row r="162" spans="2:17" ht="12.75">
      <c r="B162" s="3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00"/>
    </row>
    <row r="163" spans="1:17" ht="12.75">
      <c r="A163" s="69"/>
      <c r="B163" s="3"/>
      <c r="C163" s="3"/>
      <c r="D163" s="43" t="s">
        <v>461</v>
      </c>
      <c r="E163" s="83"/>
      <c r="F163" s="83"/>
      <c r="G163" s="83"/>
      <c r="H163" s="83"/>
      <c r="I163" s="83"/>
      <c r="J163" s="1"/>
      <c r="K163" s="83"/>
      <c r="L163" s="83"/>
      <c r="M163" s="1"/>
      <c r="N163" s="1"/>
      <c r="O163" s="83"/>
      <c r="P163" s="1"/>
      <c r="Q163" s="100"/>
    </row>
    <row r="164" spans="2:16" ht="12.75">
      <c r="B164" s="73"/>
      <c r="C164" s="3"/>
      <c r="D164" s="1"/>
      <c r="E164" s="83"/>
      <c r="F164" s="83"/>
      <c r="G164" s="83"/>
      <c r="H164" s="83"/>
      <c r="I164" s="1"/>
      <c r="J164" s="1"/>
      <c r="K164" s="1"/>
      <c r="L164" s="1"/>
      <c r="M164" s="1"/>
      <c r="N164" s="1"/>
      <c r="O164" s="83"/>
      <c r="P164" s="1"/>
    </row>
    <row r="165" spans="2:16" ht="12.75">
      <c r="B165" s="3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2.75">
      <c r="B166" s="3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2.75">
      <c r="B167" s="3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2.75">
      <c r="B168" s="3"/>
      <c r="C168" s="3"/>
      <c r="D168" s="1"/>
      <c r="E168" s="1"/>
      <c r="F168" s="1"/>
      <c r="G168" s="1"/>
      <c r="H168" s="1"/>
      <c r="I168" s="1"/>
      <c r="J168" s="83"/>
      <c r="K168" s="1"/>
      <c r="L168" s="1"/>
      <c r="M168" s="1"/>
      <c r="N168" s="1"/>
      <c r="O168" s="1"/>
      <c r="P168" s="1"/>
    </row>
    <row r="169" spans="2:16" ht="12.75">
      <c r="B169" s="3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2.75">
      <c r="B170" s="3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2.75">
      <c r="B171" s="3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2.75">
      <c r="B172" s="3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2.75">
      <c r="B173" s="3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2.75">
      <c r="B174" s="3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2.75">
      <c r="B175" s="3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2.75">
      <c r="B176" s="3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2.75">
      <c r="B177" s="3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2.75">
      <c r="B178" s="3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2.75">
      <c r="B179" s="3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2.75">
      <c r="B180" s="3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2.75">
      <c r="B181" s="3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ht="12.75">
      <c r="B182" s="3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ht="12.75">
      <c r="B183" s="3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ht="12.75">
      <c r="B184" s="3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ht="12.75">
      <c r="B185" s="3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12.75">
      <c r="B186" s="3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12.75">
      <c r="B187" s="3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12.75">
      <c r="B188" s="3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ht="12.75">
      <c r="B189" s="3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12.75">
      <c r="B190" s="3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ht="12.75">
      <c r="B191" s="3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2.75">
      <c r="B192" s="3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ht="12.75">
      <c r="B193" s="3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ht="12.75">
      <c r="B194" s="3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ht="12.75">
      <c r="B195" s="3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</sheetData>
  <mergeCells count="13">
    <mergeCell ref="I4:I5"/>
    <mergeCell ref="L4:L5"/>
    <mergeCell ref="J4:K4"/>
    <mergeCell ref="H4:H5"/>
    <mergeCell ref="A161:D161"/>
    <mergeCell ref="B2:G2"/>
    <mergeCell ref="A4:A5"/>
    <mergeCell ref="B4:B5"/>
    <mergeCell ref="C4:C5"/>
    <mergeCell ref="D4:D5"/>
    <mergeCell ref="G4:G5"/>
    <mergeCell ref="E4:E5"/>
    <mergeCell ref="F4:F5"/>
  </mergeCells>
  <printOptions horizontalCentered="1"/>
  <pageMargins left="0.2" right="0.2" top="0.76" bottom="0.38" header="0.29" footer="0.19"/>
  <pageSetup horizontalDpi="300" verticalDpi="300" orientation="landscape" paperSize="9" scale="80" r:id="rId1"/>
  <headerFooter alignWithMargins="0">
    <oddHeader>&amp;R&amp;"Arial CE,Pogrubiony"Załącznik nr &amp;A&amp;"Arial CE,Standardowy"&amp;9
do Uchwały Rady Gminy w Miłkowicach Nr XXI/102/2008
z dnia 12 lutego 2008 roku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Z16"/>
  <sheetViews>
    <sheetView showGridLines="0" workbookViewId="0" topLeftCell="A1">
      <selection activeCell="K15" sqref="K15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31.25390625" style="1" customWidth="1"/>
    <col min="4" max="4" width="8.875" style="1" customWidth="1"/>
    <col min="5" max="5" width="10.25390625" style="1" customWidth="1"/>
    <col min="6" max="6" width="10.875" style="1" customWidth="1"/>
    <col min="7" max="7" width="15.75390625" style="0" customWidth="1"/>
    <col min="8" max="8" width="10.375" style="0" customWidth="1"/>
    <col min="9" max="9" width="11.75390625" style="0" customWidth="1"/>
    <col min="79" max="16384" width="9.125" style="1" customWidth="1"/>
  </cols>
  <sheetData>
    <row r="1" spans="1:9" ht="45" customHeight="1">
      <c r="A1" s="1109" t="s">
        <v>489</v>
      </c>
      <c r="B1" s="1109"/>
      <c r="C1" s="1109"/>
      <c r="D1" s="1109"/>
      <c r="E1" s="1109"/>
      <c r="F1" s="1109"/>
      <c r="G1" s="1109"/>
      <c r="H1" s="1109"/>
      <c r="I1" s="1109"/>
    </row>
    <row r="3" ht="12.75">
      <c r="I3" s="50" t="s">
        <v>95</v>
      </c>
    </row>
    <row r="4" spans="1:78" ht="20.25" customHeight="1">
      <c r="A4" s="1100" t="s">
        <v>57</v>
      </c>
      <c r="B4" s="1111" t="s">
        <v>58</v>
      </c>
      <c r="C4" s="1111" t="s">
        <v>55</v>
      </c>
      <c r="D4" s="1110" t="s">
        <v>407</v>
      </c>
      <c r="E4" s="1110" t="s">
        <v>386</v>
      </c>
      <c r="F4" s="1110" t="s">
        <v>118</v>
      </c>
      <c r="G4" s="1110"/>
      <c r="H4" s="1110"/>
      <c r="I4" s="1110"/>
      <c r="BW4" s="1"/>
      <c r="BX4" s="1"/>
      <c r="BY4" s="1"/>
      <c r="BZ4" s="1"/>
    </row>
    <row r="5" spans="1:78" ht="18" customHeight="1">
      <c r="A5" s="1100"/>
      <c r="B5" s="1112"/>
      <c r="C5" s="1112"/>
      <c r="D5" s="1100"/>
      <c r="E5" s="1110"/>
      <c r="F5" s="1110" t="s">
        <v>131</v>
      </c>
      <c r="G5" s="1110"/>
      <c r="H5" s="1110"/>
      <c r="I5" s="1110" t="s">
        <v>132</v>
      </c>
      <c r="BW5" s="1"/>
      <c r="BX5" s="1"/>
      <c r="BY5" s="1"/>
      <c r="BZ5" s="1"/>
    </row>
    <row r="6" spans="1:78" ht="69" customHeight="1">
      <c r="A6" s="1100"/>
      <c r="B6" s="1113"/>
      <c r="C6" s="1113"/>
      <c r="D6" s="1100"/>
      <c r="E6" s="1110"/>
      <c r="F6" s="1110"/>
      <c r="G6" s="16" t="s">
        <v>385</v>
      </c>
      <c r="H6" s="16" t="s">
        <v>130</v>
      </c>
      <c r="I6" s="1110"/>
      <c r="BW6" s="1"/>
      <c r="BX6" s="1"/>
      <c r="BY6" s="1"/>
      <c r="BZ6" s="1"/>
    </row>
    <row r="7" spans="1:78" ht="8.2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BW7" s="1"/>
      <c r="BX7" s="1"/>
      <c r="BY7" s="1"/>
      <c r="BZ7" s="1"/>
    </row>
    <row r="8" spans="1:78" ht="24.75" customHeight="1">
      <c r="A8" s="1114" t="s">
        <v>408</v>
      </c>
      <c r="B8" s="1115"/>
      <c r="C8" s="1116"/>
      <c r="D8" s="130">
        <f>SUM(D9)</f>
        <v>63300</v>
      </c>
      <c r="E8" s="111"/>
      <c r="F8" s="111"/>
      <c r="G8" s="111"/>
      <c r="H8" s="111"/>
      <c r="I8" s="111"/>
      <c r="BW8" s="1"/>
      <c r="BX8" s="1"/>
      <c r="BY8" s="1"/>
      <c r="BZ8" s="1"/>
    </row>
    <row r="9" spans="1:78" ht="51">
      <c r="A9" s="22">
        <v>756</v>
      </c>
      <c r="B9" s="22">
        <v>75618</v>
      </c>
      <c r="C9" s="139" t="s">
        <v>214</v>
      </c>
      <c r="D9" s="111">
        <v>63300</v>
      </c>
      <c r="E9" s="111"/>
      <c r="F9" s="111"/>
      <c r="G9" s="111"/>
      <c r="H9" s="111"/>
      <c r="I9" s="111"/>
      <c r="BW9" s="1"/>
      <c r="BX9" s="1"/>
      <c r="BY9" s="1"/>
      <c r="BZ9" s="1"/>
    </row>
    <row r="10" spans="1:78" ht="24.75" customHeight="1">
      <c r="A10" s="1114" t="s">
        <v>409</v>
      </c>
      <c r="B10" s="1115"/>
      <c r="C10" s="1116"/>
      <c r="D10" s="130"/>
      <c r="E10" s="140">
        <f>SUM(E11:E12)</f>
        <v>63300</v>
      </c>
      <c r="F10" s="140">
        <f>SUM(F11:F12)</f>
        <v>63300</v>
      </c>
      <c r="G10" s="140">
        <f>SUM(G11:G12)</f>
        <v>9900</v>
      </c>
      <c r="H10" s="140">
        <f>SUM(H11:H12)</f>
        <v>25000</v>
      </c>
      <c r="I10" s="140">
        <f>SUM(I11:I12)</f>
        <v>0</v>
      </c>
      <c r="BW10" s="1"/>
      <c r="BX10" s="1"/>
      <c r="BY10" s="1"/>
      <c r="BZ10" s="1"/>
    </row>
    <row r="11" spans="1:78" ht="21.75" customHeight="1">
      <c r="A11" s="30">
        <v>851</v>
      </c>
      <c r="B11" s="30">
        <v>85153</v>
      </c>
      <c r="C11" s="20" t="s">
        <v>336</v>
      </c>
      <c r="D11" s="82"/>
      <c r="E11" s="82">
        <f>F11+I11</f>
        <v>1000</v>
      </c>
      <c r="F11" s="82">
        <v>1000</v>
      </c>
      <c r="G11" s="82"/>
      <c r="H11" s="82"/>
      <c r="I11" s="82"/>
      <c r="BW11" s="1"/>
      <c r="BX11" s="1"/>
      <c r="BY11" s="1"/>
      <c r="BZ11" s="1"/>
    </row>
    <row r="12" spans="1:78" ht="21.75" customHeight="1">
      <c r="A12" s="30">
        <v>851</v>
      </c>
      <c r="B12" s="30">
        <v>85154</v>
      </c>
      <c r="C12" s="20" t="s">
        <v>338</v>
      </c>
      <c r="D12" s="82"/>
      <c r="E12" s="82">
        <f>F12+I12</f>
        <v>62300</v>
      </c>
      <c r="F12" s="82">
        <v>62300</v>
      </c>
      <c r="G12" s="82">
        <v>9900</v>
      </c>
      <c r="H12" s="82">
        <v>25000</v>
      </c>
      <c r="I12" s="82"/>
      <c r="BW12" s="1"/>
      <c r="BX12" s="1"/>
      <c r="BY12" s="1"/>
      <c r="BZ12" s="1"/>
    </row>
    <row r="13" spans="1:78" ht="10.5" customHeight="1">
      <c r="A13" s="21"/>
      <c r="B13" s="21"/>
      <c r="C13" s="21"/>
      <c r="D13" s="110"/>
      <c r="E13" s="110"/>
      <c r="F13" s="110"/>
      <c r="G13" s="110"/>
      <c r="H13" s="110"/>
      <c r="I13" s="110"/>
      <c r="BW13" s="1"/>
      <c r="BX13" s="1"/>
      <c r="BY13" s="1"/>
      <c r="BZ13" s="1"/>
    </row>
    <row r="16" spans="1:2" ht="12.75">
      <c r="A16" s="57"/>
      <c r="B16" s="43" t="s">
        <v>461</v>
      </c>
    </row>
  </sheetData>
  <mergeCells count="12">
    <mergeCell ref="A1:I1"/>
    <mergeCell ref="A4:A6"/>
    <mergeCell ref="B4:B6"/>
    <mergeCell ref="C4:C6"/>
    <mergeCell ref="D4:D6"/>
    <mergeCell ref="E4:E6"/>
    <mergeCell ref="F4:I4"/>
    <mergeCell ref="F5:F6"/>
    <mergeCell ref="G5:H5"/>
    <mergeCell ref="I5:I6"/>
    <mergeCell ref="A10:C10"/>
    <mergeCell ref="A8:C8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&amp;R&amp;"Arial CE,Pogrubiony"Załącznik nr &amp;A&amp;"Arial CE,Standardowy"
do Uchwały Rady Gminy w Miłkowicach Nr XXI/102/2008
z dnia 12 lutego 2008 roku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 topLeftCell="A1">
      <selection activeCell="C3" sqref="C3"/>
    </sheetView>
  </sheetViews>
  <sheetFormatPr defaultColWidth="9.00390625" defaultRowHeight="12.75"/>
  <cols>
    <col min="1" max="1" width="4.75390625" style="0" customWidth="1"/>
    <col min="2" max="2" width="36.375" style="0" customWidth="1"/>
    <col min="3" max="3" width="12.75390625" style="0" customWidth="1"/>
    <col min="4" max="4" width="11.375" style="860" customWidth="1"/>
    <col min="5" max="5" width="10.25390625" style="0" customWidth="1"/>
    <col min="6" max="6" width="8.75390625" style="0" customWidth="1"/>
    <col min="7" max="7" width="10.875" style="0" customWidth="1"/>
    <col min="8" max="8" width="11.375" style="0" customWidth="1"/>
    <col min="9" max="10" width="10.375" style="0" customWidth="1"/>
    <col min="11" max="11" width="10.625" style="0" bestFit="1" customWidth="1"/>
    <col min="12" max="12" width="13.00390625" style="0" customWidth="1"/>
    <col min="13" max="13" width="13.625" style="0" customWidth="1"/>
  </cols>
  <sheetData>
    <row r="1" spans="1:12" s="1133" customFormat="1" ht="47.25" customHeight="1">
      <c r="A1" s="1132" t="s">
        <v>387</v>
      </c>
      <c r="B1" s="1132"/>
      <c r="C1" s="1132"/>
      <c r="D1" s="1132"/>
      <c r="E1" s="1132"/>
      <c r="F1" s="1132"/>
      <c r="G1" s="1132"/>
      <c r="H1" s="1132"/>
      <c r="I1" s="1132"/>
      <c r="J1" s="1132"/>
      <c r="K1" s="1132"/>
      <c r="L1" s="1132"/>
    </row>
    <row r="2" spans="1:12" ht="16.5">
      <c r="A2" s="1118" t="s">
        <v>488</v>
      </c>
      <c r="B2" s="1118"/>
      <c r="C2" s="1118"/>
      <c r="D2" s="1118"/>
      <c r="E2" s="1118"/>
      <c r="F2" s="1118"/>
      <c r="G2" s="1118"/>
      <c r="H2" s="1118"/>
      <c r="I2" s="1118"/>
      <c r="J2" s="1118"/>
      <c r="K2" s="1118"/>
      <c r="L2" s="1118"/>
    </row>
    <row r="3" spans="1:12" ht="6" customHeight="1">
      <c r="A3" s="6"/>
      <c r="B3" s="6"/>
      <c r="C3" s="6"/>
      <c r="D3" s="858"/>
      <c r="E3" s="6"/>
      <c r="F3" s="6"/>
      <c r="G3" s="6"/>
      <c r="H3" s="6"/>
      <c r="I3" s="6"/>
      <c r="J3" s="6"/>
      <c r="K3" s="6"/>
      <c r="L3" s="6"/>
    </row>
    <row r="4" spans="1:13" ht="12.75">
      <c r="A4" s="1"/>
      <c r="B4" s="1"/>
      <c r="C4" s="1"/>
      <c r="D4" s="859"/>
      <c r="E4" s="1"/>
      <c r="F4" s="1"/>
      <c r="G4" s="1"/>
      <c r="H4" s="1"/>
      <c r="I4" s="1"/>
      <c r="J4" s="1"/>
      <c r="K4" s="1"/>
      <c r="M4" s="9" t="s">
        <v>95</v>
      </c>
    </row>
    <row r="5" spans="1:13" ht="15" customHeight="1">
      <c r="A5" s="1100" t="s">
        <v>110</v>
      </c>
      <c r="B5" s="1100" t="s">
        <v>55</v>
      </c>
      <c r="C5" s="1119" t="s">
        <v>111</v>
      </c>
      <c r="D5" s="1121" t="s">
        <v>64</v>
      </c>
      <c r="E5" s="1122"/>
      <c r="F5" s="1122"/>
      <c r="G5" s="1123"/>
      <c r="H5" s="1110" t="s">
        <v>63</v>
      </c>
      <c r="I5" s="1110"/>
      <c r="J5" s="1110"/>
      <c r="K5" s="1110"/>
      <c r="L5" s="1110" t="s">
        <v>112</v>
      </c>
      <c r="M5" s="1110" t="s">
        <v>723</v>
      </c>
    </row>
    <row r="6" spans="1:13" ht="15" customHeight="1">
      <c r="A6" s="1100"/>
      <c r="B6" s="1100"/>
      <c r="C6" s="1119"/>
      <c r="D6" s="1120" t="s">
        <v>62</v>
      </c>
      <c r="E6" s="1124" t="s">
        <v>61</v>
      </c>
      <c r="F6" s="1125"/>
      <c r="G6" s="1126"/>
      <c r="H6" s="1110" t="s">
        <v>62</v>
      </c>
      <c r="I6" s="16"/>
      <c r="J6" s="58"/>
      <c r="K6" s="114"/>
      <c r="L6" s="1110"/>
      <c r="M6" s="1110"/>
    </row>
    <row r="7" spans="1:13" ht="18" customHeight="1">
      <c r="A7" s="1100"/>
      <c r="B7" s="1100"/>
      <c r="C7" s="1119"/>
      <c r="D7" s="1120"/>
      <c r="E7" s="1101" t="s">
        <v>465</v>
      </c>
      <c r="F7" s="103" t="s">
        <v>61</v>
      </c>
      <c r="G7" s="104"/>
      <c r="H7" s="1110"/>
      <c r="I7" s="103" t="s">
        <v>61</v>
      </c>
      <c r="J7" s="685"/>
      <c r="K7" s="104"/>
      <c r="L7" s="1110"/>
      <c r="M7" s="1110"/>
    </row>
    <row r="8" spans="1:13" ht="42" customHeight="1">
      <c r="A8" s="1100"/>
      <c r="B8" s="1100"/>
      <c r="C8" s="1119"/>
      <c r="D8" s="1120"/>
      <c r="E8" s="1103"/>
      <c r="F8" s="58" t="s">
        <v>466</v>
      </c>
      <c r="G8" s="58" t="s">
        <v>150</v>
      </c>
      <c r="H8" s="1110"/>
      <c r="I8" s="115" t="s">
        <v>394</v>
      </c>
      <c r="J8" s="115" t="s">
        <v>722</v>
      </c>
      <c r="K8" s="114" t="s">
        <v>393</v>
      </c>
      <c r="L8" s="1110"/>
      <c r="M8" s="1110"/>
    </row>
    <row r="9" spans="1:13" ht="7.5" customHeight="1" thickBot="1">
      <c r="A9" s="185">
        <v>1</v>
      </c>
      <c r="B9" s="185">
        <v>2</v>
      </c>
      <c r="C9" s="185">
        <v>3</v>
      </c>
      <c r="D9" s="861">
        <v>4</v>
      </c>
      <c r="E9" s="185">
        <v>5</v>
      </c>
      <c r="F9" s="185">
        <v>6</v>
      </c>
      <c r="G9" s="185">
        <v>7</v>
      </c>
      <c r="H9" s="185">
        <v>8</v>
      </c>
      <c r="I9" s="185"/>
      <c r="J9" s="185"/>
      <c r="K9" s="185">
        <v>9</v>
      </c>
      <c r="L9" s="185">
        <v>10</v>
      </c>
      <c r="M9" s="804">
        <v>11</v>
      </c>
    </row>
    <row r="10" spans="1:13" s="53" customFormat="1" ht="24" customHeight="1" thickBot="1">
      <c r="A10" s="189" t="s">
        <v>65</v>
      </c>
      <c r="B10" s="190" t="s">
        <v>66</v>
      </c>
      <c r="C10" s="846">
        <f aca="true" t="shared" si="0" ref="C10:M10">C11</f>
        <v>-2208.2200000000003</v>
      </c>
      <c r="D10" s="852">
        <f t="shared" si="0"/>
        <v>2390372.54</v>
      </c>
      <c r="E10" s="191">
        <f t="shared" si="0"/>
        <v>300000</v>
      </c>
      <c r="F10" s="191">
        <f t="shared" si="0"/>
        <v>300000</v>
      </c>
      <c r="G10" s="191">
        <f t="shared" si="0"/>
        <v>91000</v>
      </c>
      <c r="H10" s="852">
        <f t="shared" si="0"/>
        <v>2380527.89</v>
      </c>
      <c r="I10" s="191">
        <f t="shared" si="0"/>
        <v>616574</v>
      </c>
      <c r="J10" s="191">
        <f t="shared" si="0"/>
        <v>91000</v>
      </c>
      <c r="K10" s="191"/>
      <c r="L10" s="852">
        <f t="shared" si="0"/>
        <v>7636.43</v>
      </c>
      <c r="M10" s="803">
        <f t="shared" si="0"/>
        <v>0</v>
      </c>
    </row>
    <row r="11" spans="1:13" ht="25.5">
      <c r="A11" s="186"/>
      <c r="B11" s="187" t="s">
        <v>392</v>
      </c>
      <c r="C11" s="847">
        <f aca="true" t="shared" si="1" ref="C11:M11">SUM(C12:C16)</f>
        <v>-2208.2200000000003</v>
      </c>
      <c r="D11" s="853">
        <f t="shared" si="1"/>
        <v>2390372.54</v>
      </c>
      <c r="E11" s="188">
        <f t="shared" si="1"/>
        <v>300000</v>
      </c>
      <c r="F11" s="188">
        <f t="shared" si="1"/>
        <v>300000</v>
      </c>
      <c r="G11" s="188">
        <f t="shared" si="1"/>
        <v>91000</v>
      </c>
      <c r="H11" s="853">
        <f t="shared" si="1"/>
        <v>2380527.89</v>
      </c>
      <c r="I11" s="188">
        <f t="shared" si="1"/>
        <v>616574</v>
      </c>
      <c r="J11" s="188">
        <f t="shared" si="1"/>
        <v>91000</v>
      </c>
      <c r="K11" s="188"/>
      <c r="L11" s="853">
        <f t="shared" si="1"/>
        <v>7636.43</v>
      </c>
      <c r="M11" s="98">
        <f t="shared" si="1"/>
        <v>0</v>
      </c>
    </row>
    <row r="12" spans="1:13" ht="19.5" customHeight="1">
      <c r="A12" s="95"/>
      <c r="B12" s="184" t="s">
        <v>388</v>
      </c>
      <c r="C12" s="848">
        <v>-2774.7</v>
      </c>
      <c r="D12" s="854">
        <v>1234492.54</v>
      </c>
      <c r="E12" s="98">
        <v>300000</v>
      </c>
      <c r="F12" s="98">
        <v>300000</v>
      </c>
      <c r="G12" s="98"/>
      <c r="H12" s="854">
        <v>1231717.84</v>
      </c>
      <c r="I12" s="98">
        <v>184340</v>
      </c>
      <c r="J12" s="98"/>
      <c r="K12" s="98"/>
      <c r="L12" s="855">
        <f>C12+D12-H12</f>
        <v>0</v>
      </c>
      <c r="M12" s="113" t="s">
        <v>100</v>
      </c>
    </row>
    <row r="13" spans="1:13" ht="19.5" customHeight="1">
      <c r="A13" s="30"/>
      <c r="B13" s="31" t="s">
        <v>389</v>
      </c>
      <c r="C13" s="849">
        <v>451.24</v>
      </c>
      <c r="D13" s="855">
        <f>205000+G13</f>
        <v>205000</v>
      </c>
      <c r="E13" s="82"/>
      <c r="F13" s="82"/>
      <c r="G13" s="82"/>
      <c r="H13" s="855">
        <v>205451.24</v>
      </c>
      <c r="I13" s="82">
        <v>53920</v>
      </c>
      <c r="J13" s="82"/>
      <c r="K13" s="82"/>
      <c r="L13" s="855">
        <f>C13+D13-H13</f>
        <v>0</v>
      </c>
      <c r="M13" s="113" t="s">
        <v>100</v>
      </c>
    </row>
    <row r="14" spans="1:13" ht="19.5" customHeight="1">
      <c r="A14" s="30"/>
      <c r="B14" s="31" t="s">
        <v>390</v>
      </c>
      <c r="C14" s="849">
        <v>-583.19</v>
      </c>
      <c r="D14" s="855">
        <f>685880+G14</f>
        <v>725880</v>
      </c>
      <c r="E14" s="82"/>
      <c r="F14" s="82"/>
      <c r="G14" s="82">
        <v>40000</v>
      </c>
      <c r="H14" s="855">
        <f>685296+0.81+40000</f>
        <v>725296.81</v>
      </c>
      <c r="I14" s="82">
        <v>293400</v>
      </c>
      <c r="J14" s="82">
        <v>40000</v>
      </c>
      <c r="K14" s="82"/>
      <c r="L14" s="855">
        <f>C14+D14-H14</f>
        <v>0</v>
      </c>
      <c r="M14" s="113" t="s">
        <v>100</v>
      </c>
    </row>
    <row r="15" spans="1:13" ht="19.5" customHeight="1">
      <c r="A15" s="72"/>
      <c r="B15" s="192" t="s">
        <v>391</v>
      </c>
      <c r="C15" s="850">
        <v>698.43</v>
      </c>
      <c r="D15" s="856">
        <f>24000+G15</f>
        <v>34000</v>
      </c>
      <c r="E15" s="81"/>
      <c r="F15" s="81"/>
      <c r="G15" s="81">
        <v>10000</v>
      </c>
      <c r="H15" s="856">
        <f>23274+10000</f>
        <v>33274</v>
      </c>
      <c r="I15" s="81">
        <v>9440</v>
      </c>
      <c r="J15" s="81">
        <v>10000</v>
      </c>
      <c r="K15" s="81"/>
      <c r="L15" s="855">
        <f>C15+D15-H15</f>
        <v>1424.4300000000003</v>
      </c>
      <c r="M15" s="113" t="s">
        <v>100</v>
      </c>
    </row>
    <row r="16" spans="1:13" ht="19.5" customHeight="1" thickBot="1">
      <c r="A16" s="72"/>
      <c r="B16" s="192" t="s">
        <v>704</v>
      </c>
      <c r="C16" s="850">
        <v>0</v>
      </c>
      <c r="D16" s="856">
        <f>150000+G16</f>
        <v>191000</v>
      </c>
      <c r="E16" s="81"/>
      <c r="F16" s="81"/>
      <c r="G16" s="81">
        <f>20000+5000+16000</f>
        <v>41000</v>
      </c>
      <c r="H16" s="856">
        <f>143788+41000</f>
        <v>184788</v>
      </c>
      <c r="I16" s="81">
        <v>75474</v>
      </c>
      <c r="J16" s="81">
        <f>G16</f>
        <v>41000</v>
      </c>
      <c r="K16" s="81"/>
      <c r="L16" s="862">
        <f>C16+D16-H16</f>
        <v>6212</v>
      </c>
      <c r="M16" s="195" t="s">
        <v>100</v>
      </c>
    </row>
    <row r="17" spans="1:13" s="53" customFormat="1" ht="26.25" thickBot="1">
      <c r="A17" s="189" t="s">
        <v>70</v>
      </c>
      <c r="B17" s="193" t="s">
        <v>149</v>
      </c>
      <c r="C17" s="846">
        <f>SUM(C19:C21)</f>
        <v>6997.209999999999</v>
      </c>
      <c r="D17" s="852">
        <f>SUM(D19:D21)</f>
        <v>11000</v>
      </c>
      <c r="E17" s="191">
        <f>SUM(E19:E21)</f>
        <v>0</v>
      </c>
      <c r="F17" s="194" t="s">
        <v>100</v>
      </c>
      <c r="G17" s="194" t="s">
        <v>100</v>
      </c>
      <c r="H17" s="852">
        <f>SUM(H19:H21)</f>
        <v>17000</v>
      </c>
      <c r="I17" s="191">
        <f>SUM(I19:I21)</f>
        <v>0</v>
      </c>
      <c r="J17" s="191">
        <f>SUM(J19:J21)</f>
        <v>0</v>
      </c>
      <c r="K17" s="194" t="s">
        <v>100</v>
      </c>
      <c r="L17" s="852">
        <f>SUM(L19:L21)</f>
        <v>997.21</v>
      </c>
      <c r="M17" s="108">
        <f>SUM(M19:M21)</f>
        <v>0</v>
      </c>
    </row>
    <row r="18" spans="1:13" ht="19.5" customHeight="1">
      <c r="A18" s="116"/>
      <c r="B18" s="117" t="s">
        <v>118</v>
      </c>
      <c r="C18" s="848"/>
      <c r="D18" s="854"/>
      <c r="E18" s="118"/>
      <c r="F18" s="118"/>
      <c r="G18" s="118"/>
      <c r="H18" s="854"/>
      <c r="I18" s="98"/>
      <c r="J18" s="98"/>
      <c r="K18" s="118"/>
      <c r="L18" s="854"/>
      <c r="M18" s="98"/>
    </row>
    <row r="19" spans="1:13" ht="19.5" customHeight="1">
      <c r="A19" s="20"/>
      <c r="B19" s="31" t="s">
        <v>462</v>
      </c>
      <c r="C19" s="849">
        <v>1042.71</v>
      </c>
      <c r="D19" s="855">
        <v>1000</v>
      </c>
      <c r="E19" s="113"/>
      <c r="F19" s="113" t="s">
        <v>100</v>
      </c>
      <c r="G19" s="113" t="s">
        <v>100</v>
      </c>
      <c r="H19" s="855">
        <v>2000</v>
      </c>
      <c r="I19" s="82"/>
      <c r="J19" s="82"/>
      <c r="K19" s="113" t="s">
        <v>100</v>
      </c>
      <c r="L19" s="855">
        <f>C19+D19-H19</f>
        <v>42.710000000000036</v>
      </c>
      <c r="M19" s="82"/>
    </row>
    <row r="20" spans="1:13" ht="19.5" customHeight="1">
      <c r="A20" s="20"/>
      <c r="B20" s="31" t="s">
        <v>463</v>
      </c>
      <c r="C20" s="849">
        <v>3572.6</v>
      </c>
      <c r="D20" s="855">
        <v>5000</v>
      </c>
      <c r="E20" s="113"/>
      <c r="F20" s="113" t="s">
        <v>100</v>
      </c>
      <c r="G20" s="113" t="s">
        <v>100</v>
      </c>
      <c r="H20" s="855">
        <v>8000</v>
      </c>
      <c r="I20" s="82"/>
      <c r="J20" s="82"/>
      <c r="K20" s="113" t="s">
        <v>100</v>
      </c>
      <c r="L20" s="855">
        <f>C20+D20-H20</f>
        <v>572.6000000000004</v>
      </c>
      <c r="M20" s="82"/>
    </row>
    <row r="21" spans="1:13" ht="19.5" customHeight="1">
      <c r="A21" s="20"/>
      <c r="B21" s="31" t="s">
        <v>464</v>
      </c>
      <c r="C21" s="849">
        <v>2381.9</v>
      </c>
      <c r="D21" s="855">
        <v>5000</v>
      </c>
      <c r="E21" s="113"/>
      <c r="F21" s="113" t="s">
        <v>100</v>
      </c>
      <c r="G21" s="113" t="s">
        <v>100</v>
      </c>
      <c r="H21" s="855">
        <v>7000</v>
      </c>
      <c r="I21" s="82"/>
      <c r="J21" s="82"/>
      <c r="K21" s="113" t="s">
        <v>100</v>
      </c>
      <c r="L21" s="855">
        <f>C21+D21-H21</f>
        <v>381.89999999999964</v>
      </c>
      <c r="M21" s="82"/>
    </row>
    <row r="22" spans="1:13" s="53" customFormat="1" ht="19.5" customHeight="1">
      <c r="A22" s="1117" t="s">
        <v>139</v>
      </c>
      <c r="B22" s="1117"/>
      <c r="C22" s="851">
        <f>C17+C10</f>
        <v>4788.989999999999</v>
      </c>
      <c r="D22" s="857">
        <f>D17+D10</f>
        <v>2401372.54</v>
      </c>
      <c r="E22" s="108">
        <f>E17+E10</f>
        <v>300000</v>
      </c>
      <c r="F22" s="108">
        <f>F10</f>
        <v>300000</v>
      </c>
      <c r="G22" s="108">
        <f>G10</f>
        <v>91000</v>
      </c>
      <c r="H22" s="857">
        <f>H17+H10</f>
        <v>2397527.89</v>
      </c>
      <c r="I22" s="108">
        <f>I17+I10</f>
        <v>616574</v>
      </c>
      <c r="J22" s="108">
        <f>J17+J10</f>
        <v>91000</v>
      </c>
      <c r="K22" s="108">
        <f>K10</f>
        <v>0</v>
      </c>
      <c r="L22" s="857">
        <f>L17+L10</f>
        <v>8633.64</v>
      </c>
      <c r="M22" s="108">
        <f>M17+M10</f>
        <v>0</v>
      </c>
    </row>
    <row r="23" ht="24" customHeight="1"/>
    <row r="24" ht="12.75">
      <c r="B24" s="43" t="s">
        <v>461</v>
      </c>
    </row>
  </sheetData>
  <mergeCells count="14">
    <mergeCell ref="E6:G6"/>
    <mergeCell ref="M5:M8"/>
    <mergeCell ref="H6:H8"/>
    <mergeCell ref="L5:L8"/>
    <mergeCell ref="A22:B22"/>
    <mergeCell ref="H5:K5"/>
    <mergeCell ref="A1:L1"/>
    <mergeCell ref="A2:L2"/>
    <mergeCell ref="A5:A8"/>
    <mergeCell ref="B5:B8"/>
    <mergeCell ref="C5:C8"/>
    <mergeCell ref="D6:D8"/>
    <mergeCell ref="D5:G5"/>
    <mergeCell ref="E7:E8"/>
  </mergeCells>
  <printOptions horizontalCentered="1"/>
  <pageMargins left="0.39" right="0.5118110236220472" top="1.26" bottom="0.63" header="0.78" footer="0.5118110236220472"/>
  <pageSetup horizontalDpi="600" verticalDpi="600" orientation="landscape" paperSize="9" scale="85" r:id="rId1"/>
  <headerFooter alignWithMargins="0">
    <oddHeader>&amp;R&amp;"Arial CE,Pogrubiony"Załącznik nr &amp;A&amp;"Arial CE,Standardowy"&amp;9
do Uchwały Rady Gminy w Miłkowicach Nr XXI/102/2008
z dnia 12 lutego 2008 roku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E23" sqref="E23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1099" t="s">
        <v>487</v>
      </c>
      <c r="B1" s="1099"/>
      <c r="C1" s="1099"/>
      <c r="D1" s="1099"/>
      <c r="E1" s="1099"/>
      <c r="F1" s="1099"/>
    </row>
    <row r="2" spans="4:6" ht="19.5" customHeight="1">
      <c r="D2" s="6"/>
      <c r="E2" s="6"/>
      <c r="F2" s="6"/>
    </row>
    <row r="3" spans="4:6" ht="19.5" customHeight="1">
      <c r="D3" s="1"/>
      <c r="E3" s="1"/>
      <c r="F3" s="11" t="s">
        <v>95</v>
      </c>
    </row>
    <row r="4" spans="1:6" ht="19.5" customHeight="1">
      <c r="A4" s="1100" t="s">
        <v>110</v>
      </c>
      <c r="B4" s="1100" t="s">
        <v>57</v>
      </c>
      <c r="C4" s="1100" t="s">
        <v>58</v>
      </c>
      <c r="D4" s="1110" t="s">
        <v>114</v>
      </c>
      <c r="E4" s="1110" t="s">
        <v>115</v>
      </c>
      <c r="F4" s="1110" t="s">
        <v>96</v>
      </c>
    </row>
    <row r="5" spans="1:6" ht="19.5" customHeight="1">
      <c r="A5" s="1100"/>
      <c r="B5" s="1100"/>
      <c r="C5" s="1100"/>
      <c r="D5" s="1110"/>
      <c r="E5" s="1110"/>
      <c r="F5" s="1110"/>
    </row>
    <row r="6" spans="1:6" ht="19.5" customHeight="1">
      <c r="A6" s="1100"/>
      <c r="B6" s="1100"/>
      <c r="C6" s="1100"/>
      <c r="D6" s="1110"/>
      <c r="E6" s="1110"/>
      <c r="F6" s="1110"/>
    </row>
    <row r="7" spans="1:6" ht="7.5" customHeight="1">
      <c r="A7" s="18">
        <v>1</v>
      </c>
      <c r="B7" s="18">
        <v>2</v>
      </c>
      <c r="C7" s="18">
        <v>3</v>
      </c>
      <c r="D7" s="18">
        <v>5</v>
      </c>
      <c r="E7" s="18">
        <v>6</v>
      </c>
      <c r="F7" s="18">
        <v>7</v>
      </c>
    </row>
    <row r="8" spans="1:6" ht="30" customHeight="1">
      <c r="A8" s="32">
        <v>1</v>
      </c>
      <c r="B8" s="121">
        <v>400</v>
      </c>
      <c r="C8" s="121">
        <v>40002</v>
      </c>
      <c r="D8" s="119" t="s">
        <v>395</v>
      </c>
      <c r="E8" s="32" t="s">
        <v>396</v>
      </c>
      <c r="F8" s="120">
        <v>300000</v>
      </c>
    </row>
    <row r="9" spans="1:6" ht="30" customHeight="1">
      <c r="A9" s="33"/>
      <c r="B9" s="33"/>
      <c r="C9" s="33"/>
      <c r="D9" s="33"/>
      <c r="E9" s="33"/>
      <c r="F9" s="33"/>
    </row>
    <row r="10" spans="1:6" ht="30" customHeight="1">
      <c r="A10" s="33"/>
      <c r="B10" s="33"/>
      <c r="C10" s="33"/>
      <c r="D10" s="33"/>
      <c r="E10" s="33"/>
      <c r="F10" s="33"/>
    </row>
    <row r="11" spans="1:6" ht="30" customHeight="1">
      <c r="A11" s="33"/>
      <c r="B11" s="33"/>
      <c r="C11" s="33"/>
      <c r="D11" s="33"/>
      <c r="E11" s="33"/>
      <c r="F11" s="33"/>
    </row>
    <row r="12" spans="1:6" ht="30" customHeight="1" thickBot="1">
      <c r="A12" s="301"/>
      <c r="B12" s="301"/>
      <c r="C12" s="301"/>
      <c r="D12" s="301"/>
      <c r="E12" s="301"/>
      <c r="F12" s="301"/>
    </row>
    <row r="13" spans="1:6" s="1" customFormat="1" ht="30" customHeight="1" thickBot="1">
      <c r="A13" s="1127" t="s">
        <v>139</v>
      </c>
      <c r="B13" s="1128"/>
      <c r="C13" s="1128"/>
      <c r="D13" s="1129"/>
      <c r="E13" s="302"/>
      <c r="F13" s="303">
        <f>F8</f>
        <v>300000</v>
      </c>
    </row>
    <row r="16" ht="12.75">
      <c r="C16" s="43" t="s">
        <v>461</v>
      </c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&amp;R&amp;"Arial CE,Pogrubiony"Załącznik nr &amp;A&amp;"Arial CE,Standardowy"&amp;9
do Uchwały Rady Gminy w Miłkowicach Nr XXI/102/2008
z dnia 12 lutego 2008 roku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 topLeftCell="A1">
      <selection activeCell="H13" sqref="H13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26.00390625" style="1" customWidth="1"/>
    <col min="5" max="5" width="32.375" style="1" customWidth="1"/>
    <col min="6" max="6" width="16.00390625" style="1" customWidth="1"/>
    <col min="7" max="16384" width="9.125" style="1" customWidth="1"/>
  </cols>
  <sheetData>
    <row r="1" spans="1:6" ht="19.5" customHeight="1">
      <c r="A1" s="1026" t="s">
        <v>588</v>
      </c>
      <c r="B1" s="1026"/>
      <c r="C1" s="1026"/>
      <c r="D1" s="1026"/>
      <c r="E1" s="1026"/>
      <c r="F1" s="1026"/>
    </row>
    <row r="2" ht="19.5" customHeight="1">
      <c r="F2" s="11" t="s">
        <v>95</v>
      </c>
    </row>
    <row r="3" spans="1:6" ht="19.5" customHeight="1">
      <c r="A3" s="15" t="s">
        <v>110</v>
      </c>
      <c r="B3" s="15" t="s">
        <v>57</v>
      </c>
      <c r="C3" s="15" t="s">
        <v>58</v>
      </c>
      <c r="D3" s="15" t="s">
        <v>589</v>
      </c>
      <c r="E3" s="15" t="s">
        <v>115</v>
      </c>
      <c r="F3" s="15" t="s">
        <v>97</v>
      </c>
    </row>
    <row r="4" spans="1:6" ht="7.5" customHeight="1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</row>
    <row r="5" spans="1:6" ht="25.5">
      <c r="A5" s="126">
        <v>1</v>
      </c>
      <c r="B5" s="126">
        <v>851</v>
      </c>
      <c r="C5" s="126">
        <v>85121</v>
      </c>
      <c r="D5" s="122" t="s">
        <v>397</v>
      </c>
      <c r="E5" s="122" t="s">
        <v>557</v>
      </c>
      <c r="F5" s="105">
        <v>10000</v>
      </c>
    </row>
    <row r="6" spans="1:6" ht="38.25">
      <c r="A6" s="26">
        <v>2</v>
      </c>
      <c r="B6" s="26">
        <v>851</v>
      </c>
      <c r="C6" s="26">
        <v>85154</v>
      </c>
      <c r="D6" s="304" t="s">
        <v>412</v>
      </c>
      <c r="E6" s="124" t="s">
        <v>411</v>
      </c>
      <c r="F6" s="125">
        <v>35000</v>
      </c>
    </row>
    <row r="7" spans="1:6" ht="30" customHeight="1">
      <c r="A7" s="26">
        <v>3</v>
      </c>
      <c r="B7" s="26">
        <v>852</v>
      </c>
      <c r="C7" s="26">
        <v>85295</v>
      </c>
      <c r="D7" s="27" t="s">
        <v>398</v>
      </c>
      <c r="E7" s="27" t="s">
        <v>399</v>
      </c>
      <c r="F7" s="106">
        <v>45000</v>
      </c>
    </row>
    <row r="8" spans="1:6" ht="30" customHeight="1">
      <c r="A8" s="26">
        <v>4</v>
      </c>
      <c r="B8" s="26">
        <v>921</v>
      </c>
      <c r="C8" s="26">
        <v>92109</v>
      </c>
      <c r="D8" s="27" t="s">
        <v>398</v>
      </c>
      <c r="E8" s="27" t="s">
        <v>402</v>
      </c>
      <c r="F8" s="106">
        <f>110000+12000</f>
        <v>122000</v>
      </c>
    </row>
    <row r="9" spans="1:6" ht="30" customHeight="1">
      <c r="A9" s="26">
        <v>5</v>
      </c>
      <c r="B9" s="26">
        <v>921</v>
      </c>
      <c r="C9" s="26">
        <v>92116</v>
      </c>
      <c r="D9" s="27" t="s">
        <v>398</v>
      </c>
      <c r="E9" s="27" t="s">
        <v>401</v>
      </c>
      <c r="F9" s="106">
        <v>177000</v>
      </c>
    </row>
    <row r="10" spans="1:6" ht="25.5">
      <c r="A10" s="26">
        <v>6</v>
      </c>
      <c r="B10" s="26">
        <v>926</v>
      </c>
      <c r="C10" s="26">
        <v>92605</v>
      </c>
      <c r="D10" s="27" t="s">
        <v>398</v>
      </c>
      <c r="E10" s="27" t="s">
        <v>400</v>
      </c>
      <c r="F10" s="106">
        <v>10800</v>
      </c>
    </row>
    <row r="11" spans="1:6" ht="25.5">
      <c r="A11" s="26">
        <v>7</v>
      </c>
      <c r="B11" s="26">
        <v>926</v>
      </c>
      <c r="C11" s="26">
        <v>92605</v>
      </c>
      <c r="D11" s="305" t="s">
        <v>412</v>
      </c>
      <c r="E11" s="295" t="s">
        <v>410</v>
      </c>
      <c r="F11" s="106">
        <f>77000+5000</f>
        <v>82000</v>
      </c>
    </row>
    <row r="12" spans="1:6" ht="28.5" customHeight="1">
      <c r="A12" s="26">
        <v>8</v>
      </c>
      <c r="B12" s="26">
        <v>921</v>
      </c>
      <c r="C12" s="26">
        <v>92120</v>
      </c>
      <c r="D12" s="305" t="s">
        <v>412</v>
      </c>
      <c r="E12" s="295" t="s">
        <v>591</v>
      </c>
      <c r="F12" s="106">
        <v>20000</v>
      </c>
    </row>
    <row r="13" spans="1:6" ht="25.5" customHeight="1">
      <c r="A13" s="35">
        <v>9</v>
      </c>
      <c r="B13" s="35">
        <v>801</v>
      </c>
      <c r="C13" s="35">
        <v>80104</v>
      </c>
      <c r="D13" s="27" t="s">
        <v>590</v>
      </c>
      <c r="E13" s="27" t="s">
        <v>594</v>
      </c>
      <c r="F13" s="106">
        <v>3500</v>
      </c>
    </row>
    <row r="14" spans="1:6" ht="38.25">
      <c r="A14" s="26">
        <v>10</v>
      </c>
      <c r="B14" s="805" t="s">
        <v>360</v>
      </c>
      <c r="C14" s="805" t="s">
        <v>362</v>
      </c>
      <c r="D14" s="27" t="s">
        <v>395</v>
      </c>
      <c r="E14" s="809" t="s">
        <v>724</v>
      </c>
      <c r="F14" s="98">
        <v>5000</v>
      </c>
    </row>
    <row r="15" spans="1:6" ht="38.25">
      <c r="A15" s="35">
        <v>13</v>
      </c>
      <c r="B15" s="807" t="s">
        <v>360</v>
      </c>
      <c r="C15" s="807" t="s">
        <v>362</v>
      </c>
      <c r="D15" s="27" t="s">
        <v>395</v>
      </c>
      <c r="E15" s="808" t="s">
        <v>726</v>
      </c>
      <c r="F15" s="82">
        <v>16000</v>
      </c>
    </row>
    <row r="16" spans="1:6" ht="25.5">
      <c r="A16" s="35">
        <v>11</v>
      </c>
      <c r="B16" s="807" t="s">
        <v>250</v>
      </c>
      <c r="C16" s="807" t="s">
        <v>331</v>
      </c>
      <c r="D16" s="27" t="s">
        <v>395</v>
      </c>
      <c r="E16" s="808" t="s">
        <v>725</v>
      </c>
      <c r="F16" s="82">
        <v>20000</v>
      </c>
    </row>
    <row r="17" spans="1:6" ht="51">
      <c r="A17" s="26">
        <v>12</v>
      </c>
      <c r="B17" s="807" t="s">
        <v>294</v>
      </c>
      <c r="C17" s="807" t="s">
        <v>696</v>
      </c>
      <c r="D17" s="27" t="s">
        <v>395</v>
      </c>
      <c r="E17" s="808" t="s">
        <v>617</v>
      </c>
      <c r="F17" s="82">
        <v>10000</v>
      </c>
    </row>
    <row r="18" spans="1:6" ht="38.25">
      <c r="A18" s="26">
        <v>14</v>
      </c>
      <c r="B18" s="807" t="s">
        <v>360</v>
      </c>
      <c r="C18" s="807" t="s">
        <v>567</v>
      </c>
      <c r="D18" s="124" t="s">
        <v>395</v>
      </c>
      <c r="E18" s="808" t="s">
        <v>618</v>
      </c>
      <c r="F18" s="82">
        <v>40000</v>
      </c>
    </row>
    <row r="19" spans="1:6" ht="47.25" thickBot="1">
      <c r="A19" s="296">
        <v>15</v>
      </c>
      <c r="B19" s="297" t="s">
        <v>170</v>
      </c>
      <c r="C19" s="297" t="s">
        <v>225</v>
      </c>
      <c r="D19" s="306" t="s">
        <v>592</v>
      </c>
      <c r="E19" s="123" t="s">
        <v>593</v>
      </c>
      <c r="F19" s="298" t="s">
        <v>54</v>
      </c>
    </row>
    <row r="20" spans="1:6" ht="30" customHeight="1" thickBot="1">
      <c r="A20" s="1127"/>
      <c r="B20" s="1128"/>
      <c r="C20" s="1128"/>
      <c r="D20" s="1129"/>
      <c r="E20" s="299" t="s">
        <v>139</v>
      </c>
      <c r="F20" s="300">
        <f>SUM(F5:F18)+90000</f>
        <v>686300</v>
      </c>
    </row>
    <row r="23" ht="12.75">
      <c r="C23" s="43" t="s">
        <v>461</v>
      </c>
    </row>
  </sheetData>
  <mergeCells count="2">
    <mergeCell ref="A1:F1"/>
    <mergeCell ref="A20:D20"/>
  </mergeCells>
  <printOptions horizontalCentered="1"/>
  <pageMargins left="0.5511811023622047" right="0.5118110236220472" top="1.06" bottom="0.984251968503937" header="0.5118110236220472" footer="0.5118110236220472"/>
  <pageSetup horizontalDpi="600" verticalDpi="600" orientation="portrait" paperSize="9" scale="95" r:id="rId1"/>
  <headerFooter alignWithMargins="0">
    <oddHeader>&amp;R&amp;"Arial CE,Pogrubiony"Załącznik nr &amp;A&amp;"Arial CE,Standardowy"&amp;9
do Uchwały Rady Gminy w Miłkowicach Nr XXI/102/2008
z dnia 12 lutego 2008 roku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workbookViewId="0" topLeftCell="A1">
      <selection activeCell="C18" sqref="C18"/>
    </sheetView>
  </sheetViews>
  <sheetFormatPr defaultColWidth="9.00390625" defaultRowHeight="12.75"/>
  <cols>
    <col min="1" max="1" width="5.25390625" style="1" bestFit="1" customWidth="1"/>
    <col min="2" max="2" width="61.00390625" style="1" customWidth="1"/>
    <col min="3" max="3" width="17.75390625" style="1" customWidth="1"/>
    <col min="4" max="16384" width="9.125" style="1" customWidth="1"/>
  </cols>
  <sheetData>
    <row r="1" spans="1:10" ht="19.5" customHeight="1">
      <c r="A1" s="882" t="s">
        <v>93</v>
      </c>
      <c r="B1" s="882"/>
      <c r="C1" s="882"/>
      <c r="D1" s="6"/>
      <c r="E1" s="6"/>
      <c r="F1" s="6"/>
      <c r="G1" s="6"/>
      <c r="H1" s="6"/>
      <c r="I1" s="6"/>
      <c r="J1" s="6"/>
    </row>
    <row r="2" spans="1:7" ht="19.5" customHeight="1">
      <c r="A2" s="882" t="s">
        <v>98</v>
      </c>
      <c r="B2" s="882"/>
      <c r="C2" s="882"/>
      <c r="D2" s="6"/>
      <c r="E2" s="6"/>
      <c r="F2" s="6"/>
      <c r="G2" s="6"/>
    </row>
    <row r="4" ht="12.75">
      <c r="C4" s="9" t="s">
        <v>95</v>
      </c>
    </row>
    <row r="5" spans="1:10" ht="19.5" customHeight="1">
      <c r="A5" s="15" t="s">
        <v>110</v>
      </c>
      <c r="B5" s="15" t="s">
        <v>55</v>
      </c>
      <c r="C5" s="15" t="s">
        <v>486</v>
      </c>
      <c r="D5" s="7"/>
      <c r="E5" s="7"/>
      <c r="F5" s="7"/>
      <c r="G5" s="7"/>
      <c r="H5" s="7"/>
      <c r="I5" s="8"/>
      <c r="J5" s="8"/>
    </row>
    <row r="6" spans="1:10" ht="19.5" customHeight="1">
      <c r="A6" s="23" t="s">
        <v>65</v>
      </c>
      <c r="B6" s="34" t="s">
        <v>111</v>
      </c>
      <c r="C6" s="816">
        <v>5190.78</v>
      </c>
      <c r="D6" s="7"/>
      <c r="E6" s="7"/>
      <c r="F6" s="7"/>
      <c r="G6" s="7"/>
      <c r="H6" s="7"/>
      <c r="I6" s="8"/>
      <c r="J6" s="8"/>
    </row>
    <row r="7" spans="1:10" ht="19.5" customHeight="1">
      <c r="A7" s="23" t="s">
        <v>70</v>
      </c>
      <c r="B7" s="34" t="s">
        <v>64</v>
      </c>
      <c r="C7" s="816">
        <f>C8</f>
        <v>7000</v>
      </c>
      <c r="D7" s="7"/>
      <c r="E7" s="7"/>
      <c r="F7" s="7"/>
      <c r="G7" s="7"/>
      <c r="H7" s="7"/>
      <c r="I7" s="8"/>
      <c r="J7" s="8"/>
    </row>
    <row r="8" spans="1:10" ht="19.5" customHeight="1">
      <c r="A8" s="328" t="s">
        <v>67</v>
      </c>
      <c r="B8" s="152" t="s">
        <v>428</v>
      </c>
      <c r="C8" s="817">
        <f>C9</f>
        <v>7000</v>
      </c>
      <c r="D8" s="7"/>
      <c r="E8" s="7"/>
      <c r="F8" s="7"/>
      <c r="G8" s="7"/>
      <c r="H8" s="7"/>
      <c r="I8" s="8"/>
      <c r="J8" s="8"/>
    </row>
    <row r="9" spans="1:10" ht="19.5" customHeight="1">
      <c r="A9" s="26"/>
      <c r="B9" s="153" t="s">
        <v>429</v>
      </c>
      <c r="C9" s="818">
        <f>C10</f>
        <v>7000</v>
      </c>
      <c r="D9" s="7"/>
      <c r="E9" s="7"/>
      <c r="F9" s="7"/>
      <c r="G9" s="7"/>
      <c r="H9" s="7"/>
      <c r="I9" s="8"/>
      <c r="J9" s="8"/>
    </row>
    <row r="10" spans="1:10" ht="19.5" customHeight="1">
      <c r="A10" s="28"/>
      <c r="B10" s="154" t="s">
        <v>430</v>
      </c>
      <c r="C10" s="819">
        <v>7000</v>
      </c>
      <c r="D10" s="7"/>
      <c r="E10" s="7"/>
      <c r="F10" s="7"/>
      <c r="G10" s="7"/>
      <c r="H10" s="7"/>
      <c r="I10" s="8"/>
      <c r="J10" s="8"/>
    </row>
    <row r="11" spans="1:10" ht="19.5" customHeight="1">
      <c r="A11" s="23" t="s">
        <v>71</v>
      </c>
      <c r="B11" s="34" t="s">
        <v>63</v>
      </c>
      <c r="C11" s="816">
        <f>C12+C18</f>
        <v>7500</v>
      </c>
      <c r="D11" s="7"/>
      <c r="E11" s="7"/>
      <c r="F11" s="7"/>
      <c r="G11" s="7"/>
      <c r="H11" s="7"/>
      <c r="I11" s="8"/>
      <c r="J11" s="8"/>
    </row>
    <row r="12" spans="1:10" ht="19.5" customHeight="1" thickBot="1">
      <c r="A12" s="810" t="s">
        <v>67</v>
      </c>
      <c r="B12" s="811" t="s">
        <v>91</v>
      </c>
      <c r="C12" s="820">
        <f>C13+C18</f>
        <v>7500</v>
      </c>
      <c r="D12" s="7"/>
      <c r="E12" s="7"/>
      <c r="F12" s="7"/>
      <c r="G12" s="7"/>
      <c r="H12" s="7"/>
      <c r="I12" s="8"/>
      <c r="J12" s="8"/>
    </row>
    <row r="13" spans="1:10" ht="19.5" customHeight="1" thickTop="1">
      <c r="A13" s="35"/>
      <c r="B13" s="152" t="s">
        <v>428</v>
      </c>
      <c r="C13" s="821">
        <f>C14</f>
        <v>7500</v>
      </c>
      <c r="D13" s="7"/>
      <c r="E13" s="7"/>
      <c r="F13" s="7"/>
      <c r="G13" s="7"/>
      <c r="H13" s="7"/>
      <c r="I13" s="8"/>
      <c r="J13" s="8"/>
    </row>
    <row r="14" spans="1:10" ht="19.5" customHeight="1">
      <c r="A14" s="26"/>
      <c r="B14" s="153" t="s">
        <v>429</v>
      </c>
      <c r="C14" s="818">
        <f>SUM(C15:C17)</f>
        <v>7500</v>
      </c>
      <c r="D14" s="7"/>
      <c r="E14" s="7"/>
      <c r="F14" s="7"/>
      <c r="G14" s="7"/>
      <c r="H14" s="7"/>
      <c r="I14" s="8"/>
      <c r="J14" s="8"/>
    </row>
    <row r="15" spans="1:10" ht="18" customHeight="1">
      <c r="A15" s="26"/>
      <c r="B15" s="153" t="s">
        <v>727</v>
      </c>
      <c r="C15" s="818">
        <v>2000</v>
      </c>
      <c r="D15" s="7"/>
      <c r="E15" s="7"/>
      <c r="F15" s="7"/>
      <c r="G15" s="7"/>
      <c r="H15" s="7"/>
      <c r="I15" s="8"/>
      <c r="J15" s="8"/>
    </row>
    <row r="16" spans="1:10" ht="18" customHeight="1">
      <c r="A16" s="26"/>
      <c r="B16" s="153" t="s">
        <v>599</v>
      </c>
      <c r="C16" s="822">
        <v>3600</v>
      </c>
      <c r="D16" s="7"/>
      <c r="E16" s="7"/>
      <c r="F16" s="7"/>
      <c r="G16" s="7"/>
      <c r="H16" s="7"/>
      <c r="I16" s="8"/>
      <c r="J16" s="8"/>
    </row>
    <row r="17" spans="1:10" ht="18" customHeight="1">
      <c r="A17" s="812"/>
      <c r="B17" s="813" t="s">
        <v>728</v>
      </c>
      <c r="C17" s="822">
        <v>1900</v>
      </c>
      <c r="D17" s="7"/>
      <c r="E17" s="7"/>
      <c r="F17" s="7"/>
      <c r="G17" s="7"/>
      <c r="H17" s="7"/>
      <c r="I17" s="8"/>
      <c r="J17" s="8"/>
    </row>
    <row r="18" spans="1:10" ht="19.5" customHeight="1" thickBot="1">
      <c r="A18" s="814" t="s">
        <v>68</v>
      </c>
      <c r="B18" s="815" t="s">
        <v>94</v>
      </c>
      <c r="C18" s="823">
        <v>0</v>
      </c>
      <c r="D18" s="7"/>
      <c r="E18" s="7"/>
      <c r="F18" s="7"/>
      <c r="G18" s="7"/>
      <c r="H18" s="7"/>
      <c r="I18" s="8"/>
      <c r="J18" s="8"/>
    </row>
    <row r="19" spans="1:10" ht="15.75" thickTop="1">
      <c r="A19" s="35"/>
      <c r="B19" s="806"/>
      <c r="C19" s="150"/>
      <c r="D19" s="7"/>
      <c r="E19" s="7"/>
      <c r="F19" s="7"/>
      <c r="G19" s="7"/>
      <c r="H19" s="7"/>
      <c r="I19" s="8"/>
      <c r="J19" s="8"/>
    </row>
    <row r="20" spans="1:10" ht="15" customHeight="1">
      <c r="A20" s="28"/>
      <c r="B20" s="36"/>
      <c r="C20" s="151"/>
      <c r="D20" s="7"/>
      <c r="E20" s="7"/>
      <c r="F20" s="7"/>
      <c r="G20" s="7"/>
      <c r="H20" s="7"/>
      <c r="I20" s="8"/>
      <c r="J20" s="8"/>
    </row>
    <row r="21" spans="1:10" ht="19.5" customHeight="1">
      <c r="A21" s="23" t="s">
        <v>92</v>
      </c>
      <c r="B21" s="34" t="s">
        <v>112</v>
      </c>
      <c r="C21" s="816">
        <f>C6+C7-C11</f>
        <v>4690.779999999999</v>
      </c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43" t="s">
        <v>461</v>
      </c>
      <c r="C24" s="7"/>
      <c r="D24" s="7"/>
      <c r="E24" s="7"/>
      <c r="F24" s="7"/>
      <c r="G24" s="7"/>
      <c r="H24" s="7"/>
      <c r="I24" s="8"/>
      <c r="J24" s="8"/>
    </row>
    <row r="25" spans="1:10" ht="15">
      <c r="A25" s="7"/>
      <c r="B25" s="7"/>
      <c r="C25" s="7"/>
      <c r="D25" s="7"/>
      <c r="E25" s="7"/>
      <c r="F25" s="7"/>
      <c r="G25" s="7"/>
      <c r="H25" s="7"/>
      <c r="I25" s="8"/>
      <c r="J25" s="8"/>
    </row>
    <row r="26" spans="1:10" ht="15">
      <c r="A26" s="7"/>
      <c r="B26" s="7"/>
      <c r="C26" s="7"/>
      <c r="D26" s="7"/>
      <c r="E26" s="7"/>
      <c r="F26" s="7"/>
      <c r="G26" s="7"/>
      <c r="H26" s="7"/>
      <c r="I26" s="8"/>
      <c r="J26" s="8"/>
    </row>
    <row r="27" spans="1:10" ht="15">
      <c r="A27" s="7"/>
      <c r="B27" s="7"/>
      <c r="C27" s="7"/>
      <c r="D27" s="7"/>
      <c r="E27" s="7"/>
      <c r="F27" s="7"/>
      <c r="G27" s="7"/>
      <c r="H27" s="7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">
      <c r="A31" s="8"/>
      <c r="B31" s="8"/>
      <c r="C31" s="8"/>
      <c r="D31" s="8"/>
      <c r="E31" s="8"/>
      <c r="F31" s="8"/>
      <c r="G31" s="8"/>
      <c r="H31" s="8"/>
      <c r="I31" s="8"/>
      <c r="J31" s="8"/>
    </row>
  </sheetData>
  <mergeCells count="2">
    <mergeCell ref="A1:C1"/>
    <mergeCell ref="A2:C2"/>
  </mergeCells>
  <printOptions horizontalCentered="1"/>
  <pageMargins left="0.5905511811023623" right="0.5905511811023623" top="1.18" bottom="0.5905511811023623" header="0.5118110236220472" footer="0.5118110236220472"/>
  <pageSetup horizontalDpi="600" verticalDpi="600" orientation="portrait" paperSize="9" r:id="rId1"/>
  <headerFooter alignWithMargins="0">
    <oddHeader>&amp;R&amp;"Arial CE,Pogrubiony"Załącznik nr &amp;A&amp;"Arial CE,Standardowy"
 do Uchwały Rady Gminy w Miłkowicach Nr XXI/102/2008
z dnia 12 lutego 2008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15"/>
  <sheetViews>
    <sheetView showGridLines="0" zoomScale="75" zoomScaleNormal="75" workbookViewId="0" topLeftCell="A54">
      <selection activeCell="J112" sqref="J112"/>
    </sheetView>
  </sheetViews>
  <sheetFormatPr defaultColWidth="9.00390625" defaultRowHeight="12.75"/>
  <cols>
    <col min="1" max="1" width="5.875" style="1" customWidth="1"/>
    <col min="2" max="2" width="8.875" style="1" customWidth="1"/>
    <col min="3" max="3" width="48.75390625" style="1" customWidth="1"/>
    <col min="4" max="5" width="13.375" style="1" hidden="1" customWidth="1"/>
    <col min="6" max="6" width="13.375" style="1" customWidth="1"/>
    <col min="7" max="7" width="7.00390625" style="1" hidden="1" customWidth="1"/>
    <col min="8" max="8" width="13.25390625" style="1" customWidth="1"/>
    <col min="9" max="9" width="15.125" style="1" customWidth="1"/>
    <col min="10" max="10" width="10.75390625" style="1" customWidth="1"/>
    <col min="11" max="11" width="11.625" style="1" customWidth="1"/>
    <col min="12" max="12" width="13.125" style="1" customWidth="1"/>
    <col min="13" max="13" width="14.25390625" style="1" customWidth="1"/>
    <col min="14" max="14" width="15.00390625" style="1" customWidth="1"/>
    <col min="15" max="15" width="13.125" style="0" bestFit="1" customWidth="1"/>
  </cols>
  <sheetData>
    <row r="1" spans="1:14" ht="18.75" customHeight="1">
      <c r="A1" s="882" t="s">
        <v>654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</row>
    <row r="2" spans="1:14" ht="12.75" customHeight="1" thickBot="1">
      <c r="A2" s="40"/>
      <c r="B2" s="40"/>
      <c r="C2" s="40"/>
      <c r="D2" s="40"/>
      <c r="E2" s="40"/>
      <c r="F2" s="40"/>
      <c r="G2" s="40"/>
      <c r="H2" s="40"/>
      <c r="J2" s="13"/>
      <c r="K2" s="13"/>
      <c r="L2" s="13"/>
      <c r="M2" s="13"/>
      <c r="N2" s="41" t="s">
        <v>109</v>
      </c>
    </row>
    <row r="3" spans="1:14" s="43" customFormat="1" ht="18.75" customHeight="1">
      <c r="A3" s="885" t="s">
        <v>57</v>
      </c>
      <c r="B3" s="885" t="s">
        <v>58</v>
      </c>
      <c r="C3" s="885" t="s">
        <v>72</v>
      </c>
      <c r="D3" s="887" t="s">
        <v>533</v>
      </c>
      <c r="E3" s="888" t="s">
        <v>530</v>
      </c>
      <c r="F3" s="883" t="s">
        <v>688</v>
      </c>
      <c r="G3" s="889" t="s">
        <v>655</v>
      </c>
      <c r="H3" s="885" t="s">
        <v>118</v>
      </c>
      <c r="I3" s="885"/>
      <c r="J3" s="885"/>
      <c r="K3" s="885"/>
      <c r="L3" s="885"/>
      <c r="M3" s="885"/>
      <c r="N3" s="885"/>
    </row>
    <row r="4" spans="1:14" s="43" customFormat="1" ht="20.25" customHeight="1">
      <c r="A4" s="885"/>
      <c r="B4" s="885"/>
      <c r="C4" s="885"/>
      <c r="D4" s="887"/>
      <c r="E4" s="888"/>
      <c r="F4" s="884"/>
      <c r="G4" s="890"/>
      <c r="H4" s="886" t="s">
        <v>91</v>
      </c>
      <c r="I4" s="885" t="s">
        <v>61</v>
      </c>
      <c r="J4" s="885"/>
      <c r="K4" s="885"/>
      <c r="L4" s="885"/>
      <c r="M4" s="885"/>
      <c r="N4" s="886" t="s">
        <v>687</v>
      </c>
    </row>
    <row r="5" spans="1:14" s="43" customFormat="1" ht="51">
      <c r="A5" s="885"/>
      <c r="B5" s="885"/>
      <c r="C5" s="885"/>
      <c r="D5" s="887"/>
      <c r="E5" s="888"/>
      <c r="F5" s="884"/>
      <c r="G5" s="891"/>
      <c r="H5" s="886"/>
      <c r="I5" s="49" t="s">
        <v>689</v>
      </c>
      <c r="J5" s="49" t="s">
        <v>123</v>
      </c>
      <c r="K5" s="49" t="s">
        <v>143</v>
      </c>
      <c r="L5" s="49" t="s">
        <v>125</v>
      </c>
      <c r="M5" s="49" t="s">
        <v>529</v>
      </c>
      <c r="N5" s="885"/>
    </row>
    <row r="6" spans="1:14" s="43" customFormat="1" ht="6" customHeight="1" thickBot="1">
      <c r="A6" s="447">
        <v>1</v>
      </c>
      <c r="B6" s="447">
        <v>2</v>
      </c>
      <c r="C6" s="447">
        <v>3</v>
      </c>
      <c r="D6" s="447">
        <v>4</v>
      </c>
      <c r="E6" s="459">
        <v>5</v>
      </c>
      <c r="F6" s="468">
        <v>4</v>
      </c>
      <c r="G6" s="466">
        <v>7</v>
      </c>
      <c r="H6" s="447">
        <v>5</v>
      </c>
      <c r="I6" s="447">
        <v>6</v>
      </c>
      <c r="J6" s="447">
        <v>7</v>
      </c>
      <c r="K6" s="447">
        <v>8</v>
      </c>
      <c r="L6" s="447">
        <v>9</v>
      </c>
      <c r="M6" s="447">
        <v>10</v>
      </c>
      <c r="N6" s="447">
        <v>11</v>
      </c>
    </row>
    <row r="7" spans="1:15" s="87" customFormat="1" ht="19.5" customHeight="1" thickBot="1">
      <c r="A7" s="619" t="s">
        <v>170</v>
      </c>
      <c r="B7" s="620"/>
      <c r="C7" s="621" t="s">
        <v>172</v>
      </c>
      <c r="D7" s="448">
        <f>SUM(D8:D13)</f>
        <v>2409160</v>
      </c>
      <c r="E7" s="460">
        <f>SUM(E8:E13)</f>
        <v>2367084</v>
      </c>
      <c r="F7" s="622">
        <f>SUM(F8:F13)</f>
        <v>6810306</v>
      </c>
      <c r="G7" s="623">
        <f aca="true" t="shared" si="0" ref="G7:G19">F7/D7</f>
        <v>2.826838400106261</v>
      </c>
      <c r="H7" s="624">
        <f aca="true" t="shared" si="1" ref="H7:N7">SUM(H8:H13)</f>
        <v>47906</v>
      </c>
      <c r="I7" s="624">
        <f t="shared" si="1"/>
        <v>23145</v>
      </c>
      <c r="J7" s="624">
        <f t="shared" si="1"/>
        <v>0</v>
      </c>
      <c r="K7" s="624">
        <f t="shared" si="1"/>
        <v>0</v>
      </c>
      <c r="L7" s="624">
        <f>SUM(L8:L13)</f>
        <v>0</v>
      </c>
      <c r="M7" s="624">
        <f t="shared" si="1"/>
        <v>24761</v>
      </c>
      <c r="N7" s="625">
        <f t="shared" si="1"/>
        <v>6762400</v>
      </c>
      <c r="O7" s="196"/>
    </row>
    <row r="8" spans="1:15" s="91" customFormat="1" ht="21.75" customHeight="1">
      <c r="A8" s="202"/>
      <c r="B8" s="612" t="s">
        <v>278</v>
      </c>
      <c r="C8" s="613" t="s">
        <v>279</v>
      </c>
      <c r="D8" s="203">
        <v>35727</v>
      </c>
      <c r="E8" s="461">
        <v>35801</v>
      </c>
      <c r="F8" s="469">
        <f aca="true" t="shared" si="2" ref="F8:F17">H8+N8</f>
        <v>35905</v>
      </c>
      <c r="G8" s="248">
        <f t="shared" si="0"/>
        <v>1.0049822263274275</v>
      </c>
      <c r="H8" s="203">
        <f aca="true" t="shared" si="3" ref="H8:H13">SUM(I8:M8)</f>
        <v>35905</v>
      </c>
      <c r="I8" s="203">
        <f>16219+2146+2924+760+1000+96</f>
        <v>23145</v>
      </c>
      <c r="J8" s="203"/>
      <c r="K8" s="203"/>
      <c r="L8" s="203"/>
      <c r="M8" s="203">
        <f>350+800+10000+1610</f>
        <v>12760</v>
      </c>
      <c r="N8" s="203"/>
      <c r="O8" s="196"/>
    </row>
    <row r="9" spans="1:15" s="91" customFormat="1" ht="21.75" customHeight="1">
      <c r="A9" s="89"/>
      <c r="B9" s="614" t="s">
        <v>225</v>
      </c>
      <c r="C9" s="615" t="s">
        <v>226</v>
      </c>
      <c r="D9" s="90">
        <v>1272543</v>
      </c>
      <c r="E9" s="462">
        <v>1230416</v>
      </c>
      <c r="F9" s="470">
        <f t="shared" si="2"/>
        <v>5977800</v>
      </c>
      <c r="G9" s="467">
        <f t="shared" si="0"/>
        <v>4.6975229913645355</v>
      </c>
      <c r="H9" s="203">
        <f t="shared" si="3"/>
        <v>0</v>
      </c>
      <c r="I9" s="90"/>
      <c r="J9" s="90"/>
      <c r="K9" s="90"/>
      <c r="L9" s="90"/>
      <c r="M9" s="90"/>
      <c r="N9" s="90">
        <f>5777500+30000+30000+121800+12000+6500</f>
        <v>5977800</v>
      </c>
      <c r="O9" s="196"/>
    </row>
    <row r="10" spans="1:15" s="91" customFormat="1" ht="21.75" customHeight="1">
      <c r="A10" s="89"/>
      <c r="B10" s="614" t="s">
        <v>280</v>
      </c>
      <c r="C10" s="616" t="s">
        <v>281</v>
      </c>
      <c r="D10" s="90">
        <v>2001</v>
      </c>
      <c r="E10" s="462">
        <v>2001</v>
      </c>
      <c r="F10" s="470">
        <f t="shared" si="2"/>
        <v>2001</v>
      </c>
      <c r="G10" s="467">
        <f t="shared" si="0"/>
        <v>1</v>
      </c>
      <c r="H10" s="203">
        <f t="shared" si="3"/>
        <v>2001</v>
      </c>
      <c r="I10" s="90"/>
      <c r="J10" s="90"/>
      <c r="K10" s="90"/>
      <c r="L10" s="90"/>
      <c r="M10" s="90">
        <v>2001</v>
      </c>
      <c r="N10" s="90"/>
      <c r="O10" s="196"/>
    </row>
    <row r="11" spans="1:15" s="91" customFormat="1" ht="21.75" customHeight="1">
      <c r="A11" s="204"/>
      <c r="B11" s="617" t="s">
        <v>282</v>
      </c>
      <c r="C11" s="618" t="s">
        <v>283</v>
      </c>
      <c r="D11" s="206">
        <v>9850</v>
      </c>
      <c r="E11" s="463">
        <v>9827</v>
      </c>
      <c r="F11" s="471">
        <f>H11+N11</f>
        <v>10000</v>
      </c>
      <c r="G11" s="282">
        <f>F11/D11</f>
        <v>1.015228426395939</v>
      </c>
      <c r="H11" s="203">
        <f t="shared" si="3"/>
        <v>10000</v>
      </c>
      <c r="I11" s="206"/>
      <c r="J11" s="206"/>
      <c r="K11" s="206"/>
      <c r="L11" s="206"/>
      <c r="M11" s="206">
        <v>10000</v>
      </c>
      <c r="N11" s="206"/>
      <c r="O11" s="196"/>
    </row>
    <row r="12" spans="1:15" s="91" customFormat="1" ht="21.75" customHeight="1" thickBot="1">
      <c r="A12" s="204"/>
      <c r="B12" s="617" t="s">
        <v>231</v>
      </c>
      <c r="C12" s="618" t="s">
        <v>531</v>
      </c>
      <c r="D12" s="206">
        <v>1040300</v>
      </c>
      <c r="E12" s="463">
        <v>1040300</v>
      </c>
      <c r="F12" s="471">
        <f>H12+N12</f>
        <v>784600</v>
      </c>
      <c r="G12" s="282">
        <f>F12/D12</f>
        <v>0.7542055176391426</v>
      </c>
      <c r="H12" s="203">
        <f t="shared" si="3"/>
        <v>0</v>
      </c>
      <c r="I12" s="206"/>
      <c r="J12" s="206"/>
      <c r="K12" s="206"/>
      <c r="L12" s="206"/>
      <c r="M12" s="206"/>
      <c r="N12" s="206">
        <f>200000-200000+450000+334600</f>
        <v>784600</v>
      </c>
      <c r="O12" s="196"/>
    </row>
    <row r="13" spans="1:15" s="91" customFormat="1" ht="19.5" customHeight="1" hidden="1" thickBot="1">
      <c r="A13" s="204"/>
      <c r="B13" s="204" t="s">
        <v>171</v>
      </c>
      <c r="C13" s="205" t="s">
        <v>560</v>
      </c>
      <c r="D13" s="206">
        <v>48739</v>
      </c>
      <c r="E13" s="463">
        <v>48739</v>
      </c>
      <c r="F13" s="471">
        <f t="shared" si="2"/>
        <v>0</v>
      </c>
      <c r="G13" s="282">
        <f t="shared" si="0"/>
        <v>0</v>
      </c>
      <c r="H13" s="208">
        <f t="shared" si="3"/>
        <v>0</v>
      </c>
      <c r="I13" s="206"/>
      <c r="J13" s="206"/>
      <c r="K13" s="206"/>
      <c r="L13" s="206"/>
      <c r="M13" s="206"/>
      <c r="N13" s="206"/>
      <c r="O13" s="196"/>
    </row>
    <row r="14" spans="1:15" s="87" customFormat="1" ht="35.25" customHeight="1" thickBot="1">
      <c r="A14" s="619" t="s">
        <v>284</v>
      </c>
      <c r="B14" s="620"/>
      <c r="C14" s="626" t="s">
        <v>175</v>
      </c>
      <c r="D14" s="624">
        <f>D15</f>
        <v>1186000</v>
      </c>
      <c r="E14" s="627">
        <f>E15</f>
        <v>1107260</v>
      </c>
      <c r="F14" s="622">
        <f>F15</f>
        <v>1100000</v>
      </c>
      <c r="G14" s="623">
        <f t="shared" si="0"/>
        <v>0.927487352445194</v>
      </c>
      <c r="H14" s="624">
        <f aca="true" t="shared" si="4" ref="H14:N14">H15</f>
        <v>1100000</v>
      </c>
      <c r="I14" s="624">
        <f t="shared" si="4"/>
        <v>0</v>
      </c>
      <c r="J14" s="624">
        <f t="shared" si="4"/>
        <v>300000</v>
      </c>
      <c r="K14" s="624">
        <f t="shared" si="4"/>
        <v>0</v>
      </c>
      <c r="L14" s="624">
        <f t="shared" si="4"/>
        <v>0</v>
      </c>
      <c r="M14" s="624">
        <f t="shared" si="4"/>
        <v>800000</v>
      </c>
      <c r="N14" s="625">
        <f t="shared" si="4"/>
        <v>0</v>
      </c>
      <c r="O14" s="196"/>
    </row>
    <row r="15" spans="1:15" s="91" customFormat="1" ht="24.75" customHeight="1" thickBot="1">
      <c r="A15" s="207"/>
      <c r="B15" s="628" t="s">
        <v>285</v>
      </c>
      <c r="C15" s="629" t="s">
        <v>176</v>
      </c>
      <c r="D15" s="208">
        <v>1186000</v>
      </c>
      <c r="E15" s="464">
        <v>1107260</v>
      </c>
      <c r="F15" s="472">
        <f t="shared" si="2"/>
        <v>1100000</v>
      </c>
      <c r="G15" s="249">
        <f t="shared" si="0"/>
        <v>0.927487352445194</v>
      </c>
      <c r="H15" s="208">
        <f>SUM(I15:M15)</f>
        <v>1100000</v>
      </c>
      <c r="I15" s="208"/>
      <c r="J15" s="208">
        <v>300000</v>
      </c>
      <c r="K15" s="208"/>
      <c r="L15" s="208"/>
      <c r="M15" s="208">
        <v>800000</v>
      </c>
      <c r="N15" s="208"/>
      <c r="O15" s="196"/>
    </row>
    <row r="16" spans="1:15" s="631" customFormat="1" ht="30.75" customHeight="1" thickBot="1">
      <c r="A16" s="619" t="s">
        <v>286</v>
      </c>
      <c r="B16" s="620"/>
      <c r="C16" s="621" t="s">
        <v>287</v>
      </c>
      <c r="D16" s="624">
        <f>SUM(D17:D18)</f>
        <v>460445</v>
      </c>
      <c r="E16" s="627">
        <f>SUM(E17:E18)</f>
        <v>460211</v>
      </c>
      <c r="F16" s="622">
        <f>SUM(F17:F18)</f>
        <v>750050</v>
      </c>
      <c r="G16" s="623">
        <f t="shared" si="0"/>
        <v>1.6289676291413742</v>
      </c>
      <c r="H16" s="624">
        <f aca="true" t="shared" si="5" ref="H16:N16">SUM(H17:H18)</f>
        <v>187050</v>
      </c>
      <c r="I16" s="624">
        <f t="shared" si="5"/>
        <v>24410</v>
      </c>
      <c r="J16" s="624">
        <f t="shared" si="5"/>
        <v>0</v>
      </c>
      <c r="K16" s="624">
        <f t="shared" si="5"/>
        <v>0</v>
      </c>
      <c r="L16" s="624">
        <f>SUM(L17:L18)</f>
        <v>0</v>
      </c>
      <c r="M16" s="624">
        <f t="shared" si="5"/>
        <v>162640</v>
      </c>
      <c r="N16" s="625">
        <f t="shared" si="5"/>
        <v>563000</v>
      </c>
      <c r="O16" s="196"/>
    </row>
    <row r="17" spans="1:15" s="91" customFormat="1" ht="24" customHeight="1">
      <c r="A17" s="202"/>
      <c r="B17" s="612" t="s">
        <v>384</v>
      </c>
      <c r="C17" s="630" t="s">
        <v>383</v>
      </c>
      <c r="D17" s="203">
        <v>20211</v>
      </c>
      <c r="E17" s="461">
        <v>20211</v>
      </c>
      <c r="F17" s="469">
        <f t="shared" si="2"/>
        <v>36140</v>
      </c>
      <c r="G17" s="248">
        <v>0</v>
      </c>
      <c r="H17" s="203">
        <f>SUM(I17:M17)</f>
        <v>36140</v>
      </c>
      <c r="I17" s="203"/>
      <c r="J17" s="203"/>
      <c r="K17" s="203"/>
      <c r="L17" s="203"/>
      <c r="M17" s="203">
        <f>20000+2700+13440</f>
        <v>36140</v>
      </c>
      <c r="N17" s="203"/>
      <c r="O17" s="196"/>
    </row>
    <row r="18" spans="1:15" s="91" customFormat="1" ht="24" customHeight="1" thickBot="1">
      <c r="A18" s="204"/>
      <c r="B18" s="617" t="s">
        <v>288</v>
      </c>
      <c r="C18" s="618" t="s">
        <v>289</v>
      </c>
      <c r="D18" s="206">
        <v>440234</v>
      </c>
      <c r="E18" s="463">
        <v>440000</v>
      </c>
      <c r="F18" s="471">
        <f>H18+N18</f>
        <v>713910</v>
      </c>
      <c r="G18" s="282">
        <f>F18/D18</f>
        <v>1.6216602988410709</v>
      </c>
      <c r="H18" s="208">
        <f>SUM(I18:M18)</f>
        <v>150910</v>
      </c>
      <c r="I18" s="206">
        <f>2450+29200+60-10000+2700</f>
        <v>24410</v>
      </c>
      <c r="J18" s="206"/>
      <c r="K18" s="206"/>
      <c r="L18" s="206"/>
      <c r="M18" s="206">
        <f>10000+20000+1000+47000+23500+20000+5000</f>
        <v>126500</v>
      </c>
      <c r="N18" s="206">
        <f>623000-60000</f>
        <v>563000</v>
      </c>
      <c r="O18" s="196"/>
    </row>
    <row r="19" spans="1:15" s="631" customFormat="1" ht="24.75" customHeight="1" thickBot="1">
      <c r="A19" s="619" t="s">
        <v>290</v>
      </c>
      <c r="B19" s="620"/>
      <c r="C19" s="621" t="s">
        <v>179</v>
      </c>
      <c r="D19" s="624">
        <f>SUM(D20:D21)</f>
        <v>101030</v>
      </c>
      <c r="E19" s="627">
        <f>SUM(E20:E21)</f>
        <v>97229</v>
      </c>
      <c r="F19" s="622">
        <f>SUM(F20:F21)</f>
        <v>861905</v>
      </c>
      <c r="G19" s="623">
        <f t="shared" si="0"/>
        <v>8.53117885776502</v>
      </c>
      <c r="H19" s="624">
        <f aca="true" t="shared" si="6" ref="H19:N19">SUM(H20:H21)</f>
        <v>396905</v>
      </c>
      <c r="I19" s="624">
        <f t="shared" si="6"/>
        <v>0</v>
      </c>
      <c r="J19" s="624">
        <f t="shared" si="6"/>
        <v>0</v>
      </c>
      <c r="K19" s="624">
        <f t="shared" si="6"/>
        <v>0</v>
      </c>
      <c r="L19" s="624">
        <f>SUM(L20:L21)</f>
        <v>0</v>
      </c>
      <c r="M19" s="624">
        <f t="shared" si="6"/>
        <v>396905</v>
      </c>
      <c r="N19" s="625">
        <f t="shared" si="6"/>
        <v>465000</v>
      </c>
      <c r="O19" s="196"/>
    </row>
    <row r="20" spans="1:15" s="91" customFormat="1" ht="25.5" customHeight="1">
      <c r="A20" s="202"/>
      <c r="B20" s="612" t="s">
        <v>291</v>
      </c>
      <c r="C20" s="630" t="s">
        <v>292</v>
      </c>
      <c r="D20" s="203">
        <v>88530</v>
      </c>
      <c r="E20" s="461">
        <v>84960</v>
      </c>
      <c r="F20" s="469">
        <f>H20+N20</f>
        <v>853305</v>
      </c>
      <c r="G20" s="248">
        <f>F20/D20</f>
        <v>9.63859708573365</v>
      </c>
      <c r="H20" s="203">
        <f>SUM(I20:M20)</f>
        <v>388305</v>
      </c>
      <c r="I20" s="203"/>
      <c r="J20" s="203"/>
      <c r="K20" s="203"/>
      <c r="L20" s="203"/>
      <c r="M20" s="203">
        <f>46660+9000+20393+22172+285080+5000</f>
        <v>388305</v>
      </c>
      <c r="N20" s="203">
        <f>225000+12000+3000+220000+5000</f>
        <v>465000</v>
      </c>
      <c r="O20" s="196"/>
    </row>
    <row r="21" spans="1:15" s="91" customFormat="1" ht="25.5" customHeight="1" thickBot="1">
      <c r="A21" s="204"/>
      <c r="B21" s="617" t="s">
        <v>293</v>
      </c>
      <c r="C21" s="618" t="s">
        <v>173</v>
      </c>
      <c r="D21" s="206">
        <v>12500</v>
      </c>
      <c r="E21" s="463">
        <v>12269</v>
      </c>
      <c r="F21" s="471">
        <f>H21+N21</f>
        <v>8600</v>
      </c>
      <c r="G21" s="282">
        <f aca="true" t="shared" si="7" ref="G21:G98">F21/D21</f>
        <v>0.688</v>
      </c>
      <c r="H21" s="208">
        <f>SUM(I21:M21)</f>
        <v>8600</v>
      </c>
      <c r="I21" s="206"/>
      <c r="J21" s="206"/>
      <c r="K21" s="206"/>
      <c r="L21" s="206"/>
      <c r="M21" s="206">
        <f>1500+5100+2000</f>
        <v>8600</v>
      </c>
      <c r="N21" s="206"/>
      <c r="O21" s="196"/>
    </row>
    <row r="22" spans="1:15" s="631" customFormat="1" ht="27.75" customHeight="1" thickBot="1">
      <c r="A22" s="619" t="s">
        <v>294</v>
      </c>
      <c r="B22" s="620"/>
      <c r="C22" s="621" t="s">
        <v>295</v>
      </c>
      <c r="D22" s="624">
        <f>D23</f>
        <v>171180</v>
      </c>
      <c r="E22" s="627">
        <f>E23</f>
        <v>171180</v>
      </c>
      <c r="F22" s="622">
        <f>SUM(F23:F24)</f>
        <v>112250</v>
      </c>
      <c r="G22" s="622">
        <f aca="true" t="shared" si="8" ref="G22:N22">SUM(G23:G24)</f>
        <v>0.8063108696742984</v>
      </c>
      <c r="H22" s="622">
        <f t="shared" si="8"/>
        <v>102250</v>
      </c>
      <c r="I22" s="622">
        <f t="shared" si="8"/>
        <v>720</v>
      </c>
      <c r="J22" s="622">
        <f t="shared" si="8"/>
        <v>0</v>
      </c>
      <c r="K22" s="622">
        <f t="shared" si="8"/>
        <v>0</v>
      </c>
      <c r="L22" s="622">
        <f t="shared" si="8"/>
        <v>0</v>
      </c>
      <c r="M22" s="622">
        <f t="shared" si="8"/>
        <v>101530</v>
      </c>
      <c r="N22" s="622">
        <f t="shared" si="8"/>
        <v>10000</v>
      </c>
      <c r="O22" s="196"/>
    </row>
    <row r="23" spans="1:15" s="91" customFormat="1" ht="22.5" customHeight="1">
      <c r="A23" s="207"/>
      <c r="B23" s="628" t="s">
        <v>296</v>
      </c>
      <c r="C23" s="629" t="s">
        <v>297</v>
      </c>
      <c r="D23" s="208">
        <v>171180</v>
      </c>
      <c r="E23" s="464">
        <v>171180</v>
      </c>
      <c r="F23" s="472">
        <f>H23+N23</f>
        <v>102250</v>
      </c>
      <c r="G23" s="249">
        <f t="shared" si="7"/>
        <v>0.5973244537913308</v>
      </c>
      <c r="H23" s="602">
        <f>SUM(I23:M23)</f>
        <v>102250</v>
      </c>
      <c r="I23" s="208">
        <v>720</v>
      </c>
      <c r="J23" s="208"/>
      <c r="K23" s="208"/>
      <c r="L23" s="208"/>
      <c r="M23" s="208">
        <f>50000+36530+5000+10000</f>
        <v>101530</v>
      </c>
      <c r="N23" s="208"/>
      <c r="O23" s="196"/>
    </row>
    <row r="24" spans="1:15" s="91" customFormat="1" ht="22.5" customHeight="1">
      <c r="A24" s="449"/>
      <c r="B24" s="632" t="s">
        <v>696</v>
      </c>
      <c r="C24" s="633" t="s">
        <v>697</v>
      </c>
      <c r="D24" s="450">
        <v>47850</v>
      </c>
      <c r="E24" s="465">
        <v>47850</v>
      </c>
      <c r="F24" s="634">
        <f>H24+N24</f>
        <v>10000</v>
      </c>
      <c r="G24" s="250">
        <f>F24/D24</f>
        <v>0.2089864158829676</v>
      </c>
      <c r="H24" s="450">
        <f>SUM(I24:M24)</f>
        <v>0</v>
      </c>
      <c r="I24" s="450"/>
      <c r="J24" s="450"/>
      <c r="K24" s="450"/>
      <c r="L24" s="450"/>
      <c r="M24" s="450"/>
      <c r="N24" s="450">
        <v>10000</v>
      </c>
      <c r="O24" s="196"/>
    </row>
    <row r="25" spans="1:15" s="87" customFormat="1" ht="41.25" customHeight="1">
      <c r="A25" s="135"/>
      <c r="B25" s="135"/>
      <c r="C25" s="136"/>
      <c r="D25" s="137"/>
      <c r="E25" s="137"/>
      <c r="F25" s="137"/>
      <c r="G25" s="138"/>
      <c r="H25" s="137"/>
      <c r="I25" s="137"/>
      <c r="J25" s="137"/>
      <c r="K25" s="137"/>
      <c r="L25" s="137"/>
      <c r="M25" s="137"/>
      <c r="N25" s="137"/>
      <c r="O25" s="196"/>
    </row>
    <row r="26" spans="1:14" s="43" customFormat="1" ht="6" customHeight="1" thickBot="1">
      <c r="A26" s="209">
        <v>1</v>
      </c>
      <c r="B26" s="209">
        <v>2</v>
      </c>
      <c r="C26" s="209">
        <v>3</v>
      </c>
      <c r="D26" s="209">
        <v>4</v>
      </c>
      <c r="E26" s="209">
        <v>5</v>
      </c>
      <c r="F26" s="209">
        <v>4</v>
      </c>
      <c r="G26" s="209">
        <v>7</v>
      </c>
      <c r="H26" s="209">
        <v>5</v>
      </c>
      <c r="I26" s="209">
        <v>6</v>
      </c>
      <c r="J26" s="209">
        <v>7</v>
      </c>
      <c r="K26" s="209">
        <v>8</v>
      </c>
      <c r="L26" s="209">
        <v>9</v>
      </c>
      <c r="M26" s="209">
        <v>10</v>
      </c>
      <c r="N26" s="209">
        <v>11</v>
      </c>
    </row>
    <row r="27" spans="1:15" s="631" customFormat="1" ht="26.25" customHeight="1" thickBot="1">
      <c r="A27" s="619" t="s">
        <v>298</v>
      </c>
      <c r="B27" s="620"/>
      <c r="C27" s="621" t="s">
        <v>189</v>
      </c>
      <c r="D27" s="627">
        <f>SUM(D28:D33)</f>
        <v>1529735</v>
      </c>
      <c r="E27" s="627">
        <f>SUM(E28:E33)</f>
        <v>1518983</v>
      </c>
      <c r="F27" s="622">
        <f>SUM(F28:F33)</f>
        <v>1660289</v>
      </c>
      <c r="G27" s="623">
        <f t="shared" si="7"/>
        <v>1.08534419360216</v>
      </c>
      <c r="H27" s="624">
        <f>SUM(H28:H33)</f>
        <v>1660289</v>
      </c>
      <c r="I27" s="624">
        <f aca="true" t="shared" si="9" ref="I27:N27">SUM(I28:I33)</f>
        <v>1209814</v>
      </c>
      <c r="J27" s="624">
        <f t="shared" si="9"/>
        <v>0</v>
      </c>
      <c r="K27" s="624">
        <f t="shared" si="9"/>
        <v>0</v>
      </c>
      <c r="L27" s="624">
        <f t="shared" si="9"/>
        <v>0</v>
      </c>
      <c r="M27" s="624">
        <f t="shared" si="9"/>
        <v>450475</v>
      </c>
      <c r="N27" s="624">
        <f t="shared" si="9"/>
        <v>0</v>
      </c>
      <c r="O27" s="196"/>
    </row>
    <row r="28" spans="1:15" s="91" customFormat="1" ht="22.5" customHeight="1">
      <c r="A28" s="202"/>
      <c r="B28" s="612" t="s">
        <v>299</v>
      </c>
      <c r="C28" s="630" t="s">
        <v>233</v>
      </c>
      <c r="D28" s="203">
        <v>68633</v>
      </c>
      <c r="E28" s="461">
        <v>68633</v>
      </c>
      <c r="F28" s="469">
        <f>H28+N28</f>
        <v>66678</v>
      </c>
      <c r="G28" s="248">
        <f t="shared" si="7"/>
        <v>0.9715151603456064</v>
      </c>
      <c r="H28" s="203">
        <f>SUM(I28:M28)</f>
        <v>66678</v>
      </c>
      <c r="I28" s="203">
        <v>66678</v>
      </c>
      <c r="J28" s="203"/>
      <c r="K28" s="203"/>
      <c r="L28" s="203"/>
      <c r="M28" s="203"/>
      <c r="N28" s="203"/>
      <c r="O28" s="196"/>
    </row>
    <row r="29" spans="1:15" s="91" customFormat="1" ht="19.5" customHeight="1" hidden="1">
      <c r="A29" s="202"/>
      <c r="B29" s="612" t="s">
        <v>563</v>
      </c>
      <c r="C29" s="630" t="s">
        <v>564</v>
      </c>
      <c r="D29" s="203">
        <v>77000</v>
      </c>
      <c r="E29" s="461">
        <v>77000</v>
      </c>
      <c r="F29" s="469"/>
      <c r="G29" s="248"/>
      <c r="H29" s="203"/>
      <c r="I29" s="203"/>
      <c r="J29" s="203"/>
      <c r="K29" s="203"/>
      <c r="L29" s="203"/>
      <c r="M29" s="203"/>
      <c r="N29" s="203"/>
      <c r="O29" s="196"/>
    </row>
    <row r="30" spans="1:15" s="91" customFormat="1" ht="21.75" customHeight="1">
      <c r="A30" s="89"/>
      <c r="B30" s="614" t="s">
        <v>300</v>
      </c>
      <c r="C30" s="616" t="s">
        <v>301</v>
      </c>
      <c r="D30" s="90">
        <v>47850</v>
      </c>
      <c r="E30" s="462">
        <v>47850</v>
      </c>
      <c r="F30" s="470">
        <f>H30+N30</f>
        <v>65300</v>
      </c>
      <c r="G30" s="467">
        <f t="shared" si="7"/>
        <v>1.3646812957157786</v>
      </c>
      <c r="H30" s="203">
        <f>SUM(I30:M30)</f>
        <v>65300</v>
      </c>
      <c r="I30" s="90"/>
      <c r="J30" s="90"/>
      <c r="K30" s="90"/>
      <c r="L30" s="90"/>
      <c r="M30" s="90">
        <f>50000+4000+1500+2000+500+7300</f>
        <v>65300</v>
      </c>
      <c r="N30" s="90"/>
      <c r="O30" s="196"/>
    </row>
    <row r="31" spans="1:15" s="91" customFormat="1" ht="21.75" customHeight="1">
      <c r="A31" s="89"/>
      <c r="B31" s="614" t="s">
        <v>302</v>
      </c>
      <c r="C31" s="616" t="s">
        <v>190</v>
      </c>
      <c r="D31" s="90">
        <v>1310732</v>
      </c>
      <c r="E31" s="462">
        <v>1300000</v>
      </c>
      <c r="F31" s="470">
        <f>H31+N31</f>
        <v>1491965</v>
      </c>
      <c r="G31" s="467">
        <f t="shared" si="7"/>
        <v>1.1382685400219115</v>
      </c>
      <c r="H31" s="203">
        <f>SUM(I31:M31)</f>
        <v>1491965</v>
      </c>
      <c r="I31" s="90">
        <f>807414+63256+132444+21490+12000+14000+77000+11000+3000-584</f>
        <v>1141020</v>
      </c>
      <c r="J31" s="90"/>
      <c r="K31" s="90"/>
      <c r="L31" s="90"/>
      <c r="M31" s="90">
        <f>1200+60000+12000+94000+1500+52800+3000+4000+15000+50+500+20300+2400+22395+19400+5000+35400+2000</f>
        <v>350945</v>
      </c>
      <c r="N31" s="90"/>
      <c r="O31" s="196"/>
    </row>
    <row r="32" spans="1:15" s="91" customFormat="1" ht="22.5" customHeight="1">
      <c r="A32" s="207"/>
      <c r="B32" s="628" t="s">
        <v>303</v>
      </c>
      <c r="C32" s="629" t="s">
        <v>304</v>
      </c>
      <c r="D32" s="208">
        <v>25520</v>
      </c>
      <c r="E32" s="464">
        <v>25500</v>
      </c>
      <c r="F32" s="472">
        <f>H32+N32</f>
        <v>34846</v>
      </c>
      <c r="G32" s="249">
        <f t="shared" si="7"/>
        <v>1.3654388714733543</v>
      </c>
      <c r="H32" s="203">
        <f>SUM(I32:M32)</f>
        <v>34846</v>
      </c>
      <c r="I32" s="203">
        <f>272+44+1800</f>
        <v>2116</v>
      </c>
      <c r="J32" s="208"/>
      <c r="K32" s="208"/>
      <c r="L32" s="208"/>
      <c r="M32" s="208">
        <f>3000+1200+28530</f>
        <v>32730</v>
      </c>
      <c r="N32" s="208"/>
      <c r="O32" s="196"/>
    </row>
    <row r="33" spans="1:15" s="91" customFormat="1" ht="21.75" customHeight="1" thickBot="1">
      <c r="A33" s="449"/>
      <c r="B33" s="632" t="s">
        <v>561</v>
      </c>
      <c r="C33" s="633" t="s">
        <v>173</v>
      </c>
      <c r="D33" s="450"/>
      <c r="E33" s="465"/>
      <c r="F33" s="473">
        <f>H33+N33</f>
        <v>1500</v>
      </c>
      <c r="G33" s="250"/>
      <c r="H33" s="450">
        <f>SUM(I33:M33)</f>
        <v>1500</v>
      </c>
      <c r="I33" s="450"/>
      <c r="J33" s="450"/>
      <c r="K33" s="450"/>
      <c r="L33" s="450"/>
      <c r="M33" s="450">
        <v>1500</v>
      </c>
      <c r="N33" s="450"/>
      <c r="O33" s="196"/>
    </row>
    <row r="34" spans="1:15" s="631" customFormat="1" ht="48" thickBot="1">
      <c r="A34" s="619" t="s">
        <v>305</v>
      </c>
      <c r="B34" s="620"/>
      <c r="C34" s="626" t="s">
        <v>236</v>
      </c>
      <c r="D34" s="624">
        <f>SUM(D35:D37)</f>
        <v>25503</v>
      </c>
      <c r="E34" s="627">
        <f>SUM(E35:E37)</f>
        <v>25503</v>
      </c>
      <c r="F34" s="622">
        <f>SUM(F35:F37)</f>
        <v>1020</v>
      </c>
      <c r="G34" s="623">
        <f t="shared" si="7"/>
        <v>0.039995294671215154</v>
      </c>
      <c r="H34" s="624">
        <f aca="true" t="shared" si="10" ref="H34:N34">SUM(H35:H37)</f>
        <v>1020</v>
      </c>
      <c r="I34" s="624">
        <f t="shared" si="10"/>
        <v>1020</v>
      </c>
      <c r="J34" s="624">
        <f t="shared" si="10"/>
        <v>0</v>
      </c>
      <c r="K34" s="624">
        <f t="shared" si="10"/>
        <v>0</v>
      </c>
      <c r="L34" s="624">
        <f>SUM(L35:L37)</f>
        <v>0</v>
      </c>
      <c r="M34" s="624">
        <f t="shared" si="10"/>
        <v>0</v>
      </c>
      <c r="N34" s="625">
        <f t="shared" si="10"/>
        <v>0</v>
      </c>
      <c r="O34" s="196"/>
    </row>
    <row r="35" spans="1:15" s="91" customFormat="1" ht="30.75" thickBot="1">
      <c r="A35" s="202"/>
      <c r="B35" s="612" t="s">
        <v>306</v>
      </c>
      <c r="C35" s="630" t="s">
        <v>307</v>
      </c>
      <c r="D35" s="203">
        <v>1005</v>
      </c>
      <c r="E35" s="461">
        <v>1005</v>
      </c>
      <c r="F35" s="469">
        <f>H35+N35</f>
        <v>1020</v>
      </c>
      <c r="G35" s="248">
        <f t="shared" si="7"/>
        <v>1.0149253731343284</v>
      </c>
      <c r="H35" s="203">
        <f>SUM(I35:M35)</f>
        <v>1020</v>
      </c>
      <c r="I35" s="203">
        <v>1020</v>
      </c>
      <c r="J35" s="203"/>
      <c r="K35" s="203"/>
      <c r="L35" s="203"/>
      <c r="M35" s="203"/>
      <c r="N35" s="203"/>
      <c r="O35" s="196"/>
    </row>
    <row r="36" spans="1:15" s="91" customFormat="1" ht="18.75" customHeight="1" hidden="1">
      <c r="A36" s="204"/>
      <c r="B36" s="204" t="s">
        <v>565</v>
      </c>
      <c r="C36" s="205" t="s">
        <v>532</v>
      </c>
      <c r="D36" s="206">
        <v>16680</v>
      </c>
      <c r="E36" s="463">
        <v>16680</v>
      </c>
      <c r="F36" s="471">
        <f>H36+N36</f>
        <v>0</v>
      </c>
      <c r="G36" s="282">
        <f>F36/D36</f>
        <v>0</v>
      </c>
      <c r="H36" s="206"/>
      <c r="I36" s="206"/>
      <c r="J36" s="206"/>
      <c r="K36" s="206"/>
      <c r="L36" s="206"/>
      <c r="M36" s="206"/>
      <c r="N36" s="206"/>
      <c r="O36" s="196"/>
    </row>
    <row r="37" spans="1:15" s="91" customFormat="1" ht="61.5" customHeight="1" hidden="1" thickBot="1">
      <c r="A37" s="204"/>
      <c r="B37" s="204" t="s">
        <v>376</v>
      </c>
      <c r="C37" s="205" t="s">
        <v>273</v>
      </c>
      <c r="D37" s="206">
        <v>7818</v>
      </c>
      <c r="E37" s="463">
        <v>7818</v>
      </c>
      <c r="F37" s="471">
        <f>H37+N37</f>
        <v>0</v>
      </c>
      <c r="G37" s="282">
        <f t="shared" si="7"/>
        <v>0</v>
      </c>
      <c r="H37" s="206"/>
      <c r="I37" s="206"/>
      <c r="J37" s="206"/>
      <c r="K37" s="206"/>
      <c r="L37" s="206"/>
      <c r="M37" s="206"/>
      <c r="N37" s="206"/>
      <c r="O37" s="196"/>
    </row>
    <row r="38" spans="1:15" s="631" customFormat="1" ht="27.75" customHeight="1" thickBot="1">
      <c r="A38" s="619" t="s">
        <v>308</v>
      </c>
      <c r="B38" s="620"/>
      <c r="C38" s="621" t="s">
        <v>238</v>
      </c>
      <c r="D38" s="624">
        <f>D39</f>
        <v>500</v>
      </c>
      <c r="E38" s="627">
        <f>E39</f>
        <v>500</v>
      </c>
      <c r="F38" s="622">
        <f>F39</f>
        <v>500</v>
      </c>
      <c r="G38" s="623">
        <f t="shared" si="7"/>
        <v>1</v>
      </c>
      <c r="H38" s="624">
        <f aca="true" t="shared" si="11" ref="H38:N38">H39</f>
        <v>500</v>
      </c>
      <c r="I38" s="624">
        <f t="shared" si="11"/>
        <v>0</v>
      </c>
      <c r="J38" s="624">
        <f t="shared" si="11"/>
        <v>0</v>
      </c>
      <c r="K38" s="624">
        <f t="shared" si="11"/>
        <v>0</v>
      </c>
      <c r="L38" s="624">
        <f t="shared" si="11"/>
        <v>0</v>
      </c>
      <c r="M38" s="624">
        <f t="shared" si="11"/>
        <v>500</v>
      </c>
      <c r="N38" s="625">
        <f t="shared" si="11"/>
        <v>0</v>
      </c>
      <c r="O38" s="196"/>
    </row>
    <row r="39" spans="1:15" s="91" customFormat="1" ht="25.5" customHeight="1" thickBot="1">
      <c r="A39" s="207"/>
      <c r="B39" s="628" t="s">
        <v>309</v>
      </c>
      <c r="C39" s="629" t="s">
        <v>239</v>
      </c>
      <c r="D39" s="208">
        <v>500</v>
      </c>
      <c r="E39" s="464">
        <v>500</v>
      </c>
      <c r="F39" s="472">
        <f>H39+N39</f>
        <v>500</v>
      </c>
      <c r="G39" s="249">
        <f t="shared" si="7"/>
        <v>1</v>
      </c>
      <c r="H39" s="208">
        <f>SUM(I39:M39)</f>
        <v>500</v>
      </c>
      <c r="I39" s="208"/>
      <c r="J39" s="208"/>
      <c r="K39" s="208"/>
      <c r="L39" s="208"/>
      <c r="M39" s="208">
        <v>500</v>
      </c>
      <c r="N39" s="208"/>
      <c r="O39" s="196"/>
    </row>
    <row r="40" spans="1:15" s="631" customFormat="1" ht="32.25" thickBot="1">
      <c r="A40" s="619" t="s">
        <v>310</v>
      </c>
      <c r="B40" s="620"/>
      <c r="C40" s="626" t="s">
        <v>240</v>
      </c>
      <c r="D40" s="624">
        <f>SUM(D41:D44)</f>
        <v>103581</v>
      </c>
      <c r="E40" s="627">
        <f>SUM(E41:E44)</f>
        <v>102559</v>
      </c>
      <c r="F40" s="622">
        <f>SUM(F41:F44)</f>
        <v>691320</v>
      </c>
      <c r="G40" s="623">
        <f t="shared" si="7"/>
        <v>6.6741970052422745</v>
      </c>
      <c r="H40" s="624">
        <f aca="true" t="shared" si="12" ref="H40:N40">SUM(H41:H44)</f>
        <v>121320</v>
      </c>
      <c r="I40" s="624">
        <f t="shared" si="12"/>
        <v>36650</v>
      </c>
      <c r="J40" s="624">
        <f t="shared" si="12"/>
        <v>0</v>
      </c>
      <c r="K40" s="624">
        <f t="shared" si="12"/>
        <v>0</v>
      </c>
      <c r="L40" s="624">
        <f>SUM(L41:L44)</f>
        <v>0</v>
      </c>
      <c r="M40" s="624">
        <f t="shared" si="12"/>
        <v>84670</v>
      </c>
      <c r="N40" s="625">
        <f t="shared" si="12"/>
        <v>570000</v>
      </c>
      <c r="O40" s="196"/>
    </row>
    <row r="41" spans="1:15" s="91" customFormat="1" ht="19.5" customHeight="1">
      <c r="A41" s="202"/>
      <c r="B41" s="612" t="s">
        <v>311</v>
      </c>
      <c r="C41" s="630" t="s">
        <v>312</v>
      </c>
      <c r="D41" s="203">
        <v>3000</v>
      </c>
      <c r="E41" s="461">
        <v>3000</v>
      </c>
      <c r="F41" s="469">
        <f>H41+N41</f>
        <v>4000</v>
      </c>
      <c r="G41" s="248">
        <f t="shared" si="7"/>
        <v>1.3333333333333333</v>
      </c>
      <c r="H41" s="203">
        <f>SUM(I41:M41)</f>
        <v>4000</v>
      </c>
      <c r="I41" s="203"/>
      <c r="J41" s="203"/>
      <c r="K41" s="203"/>
      <c r="L41" s="203"/>
      <c r="M41" s="203">
        <v>4000</v>
      </c>
      <c r="N41" s="203"/>
      <c r="O41" s="196"/>
    </row>
    <row r="42" spans="1:15" s="91" customFormat="1" ht="19.5" customHeight="1">
      <c r="A42" s="89"/>
      <c r="B42" s="614" t="s">
        <v>313</v>
      </c>
      <c r="C42" s="616" t="s">
        <v>314</v>
      </c>
      <c r="D42" s="90">
        <v>97781</v>
      </c>
      <c r="E42" s="462">
        <v>96759</v>
      </c>
      <c r="F42" s="470">
        <f>H42+N42</f>
        <v>683320</v>
      </c>
      <c r="G42" s="467">
        <f t="shared" si="7"/>
        <v>6.988269704748366</v>
      </c>
      <c r="H42" s="203">
        <f>SUM(I42:M42)</f>
        <v>113320</v>
      </c>
      <c r="I42" s="90">
        <f>34836+979+831+4</f>
        <v>36650</v>
      </c>
      <c r="J42" s="90"/>
      <c r="K42" s="90"/>
      <c r="L42" s="90"/>
      <c r="M42" s="90">
        <f>10000+25000+1000+14000+15000+7000+1200+200+7000+3000-6730</f>
        <v>76670</v>
      </c>
      <c r="N42" s="90">
        <f>50000+520000</f>
        <v>570000</v>
      </c>
      <c r="O42" s="196"/>
    </row>
    <row r="43" spans="1:15" s="91" customFormat="1" ht="22.5" customHeight="1">
      <c r="A43" s="89"/>
      <c r="B43" s="614" t="s">
        <v>315</v>
      </c>
      <c r="C43" s="616" t="s">
        <v>241</v>
      </c>
      <c r="D43" s="90">
        <v>2800</v>
      </c>
      <c r="E43" s="462">
        <v>2800</v>
      </c>
      <c r="F43" s="470">
        <f>H43+N43</f>
        <v>1000</v>
      </c>
      <c r="G43" s="467">
        <f t="shared" si="7"/>
        <v>0.35714285714285715</v>
      </c>
      <c r="H43" s="203">
        <f>SUM(I43:M43)</f>
        <v>1000</v>
      </c>
      <c r="I43" s="90"/>
      <c r="J43" s="90"/>
      <c r="K43" s="90"/>
      <c r="L43" s="90"/>
      <c r="M43" s="90">
        <v>1000</v>
      </c>
      <c r="N43" s="90"/>
      <c r="O43" s="196"/>
    </row>
    <row r="44" spans="1:15" s="91" customFormat="1" ht="19.5" customHeight="1" thickBot="1">
      <c r="A44" s="204"/>
      <c r="B44" s="617" t="s">
        <v>562</v>
      </c>
      <c r="C44" s="618" t="s">
        <v>539</v>
      </c>
      <c r="D44" s="206"/>
      <c r="E44" s="463"/>
      <c r="F44" s="471">
        <f>H44+N44</f>
        <v>3000</v>
      </c>
      <c r="G44" s="282"/>
      <c r="H44" s="208">
        <f>SUM(I44:M44)</f>
        <v>3000</v>
      </c>
      <c r="I44" s="206"/>
      <c r="J44" s="206"/>
      <c r="K44" s="206"/>
      <c r="L44" s="206"/>
      <c r="M44" s="206">
        <v>3000</v>
      </c>
      <c r="N44" s="206"/>
      <c r="O44" s="196"/>
    </row>
    <row r="45" spans="1:15" s="631" customFormat="1" ht="79.5" thickBot="1">
      <c r="A45" s="619" t="s">
        <v>316</v>
      </c>
      <c r="B45" s="620"/>
      <c r="C45" s="626" t="s">
        <v>317</v>
      </c>
      <c r="D45" s="624">
        <f>D46</f>
        <v>53300</v>
      </c>
      <c r="E45" s="627">
        <f>E46</f>
        <v>53300</v>
      </c>
      <c r="F45" s="622">
        <f>F46</f>
        <v>58310</v>
      </c>
      <c r="G45" s="623">
        <f t="shared" si="7"/>
        <v>1.0939962476547842</v>
      </c>
      <c r="H45" s="624">
        <f aca="true" t="shared" si="13" ref="H45:N45">H46</f>
        <v>58310</v>
      </c>
      <c r="I45" s="624">
        <f t="shared" si="13"/>
        <v>31710</v>
      </c>
      <c r="J45" s="624">
        <f t="shared" si="13"/>
        <v>0</v>
      </c>
      <c r="K45" s="624">
        <f t="shared" si="13"/>
        <v>0</v>
      </c>
      <c r="L45" s="624">
        <f t="shared" si="13"/>
        <v>0</v>
      </c>
      <c r="M45" s="624">
        <f t="shared" si="13"/>
        <v>26600</v>
      </c>
      <c r="N45" s="625">
        <f t="shared" si="13"/>
        <v>0</v>
      </c>
      <c r="O45" s="196"/>
    </row>
    <row r="46" spans="1:15" s="91" customFormat="1" ht="30.75" thickBot="1">
      <c r="A46" s="207"/>
      <c r="B46" s="628" t="s">
        <v>318</v>
      </c>
      <c r="C46" s="629" t="s">
        <v>319</v>
      </c>
      <c r="D46" s="208">
        <v>53300</v>
      </c>
      <c r="E46" s="464">
        <v>53300</v>
      </c>
      <c r="F46" s="472">
        <f>H46+N46</f>
        <v>58310</v>
      </c>
      <c r="G46" s="249">
        <f t="shared" si="7"/>
        <v>1.0939962476547842</v>
      </c>
      <c r="H46" s="208">
        <f>SUM(I46:M46)</f>
        <v>58310</v>
      </c>
      <c r="I46" s="208">
        <f>28000+450+60+3200</f>
        <v>31710</v>
      </c>
      <c r="J46" s="208"/>
      <c r="K46" s="208"/>
      <c r="L46" s="208"/>
      <c r="M46" s="208">
        <f>600+26000</f>
        <v>26600</v>
      </c>
      <c r="N46" s="208"/>
      <c r="O46" s="196"/>
    </row>
    <row r="47" spans="1:15" s="631" customFormat="1" ht="29.25" customHeight="1" thickBot="1">
      <c r="A47" s="619" t="s">
        <v>320</v>
      </c>
      <c r="B47" s="620"/>
      <c r="C47" s="626" t="s">
        <v>321</v>
      </c>
      <c r="D47" s="624">
        <f>D48</f>
        <v>171239</v>
      </c>
      <c r="E47" s="627">
        <f>E48</f>
        <v>171239</v>
      </c>
      <c r="F47" s="622">
        <f>F48</f>
        <v>190000</v>
      </c>
      <c r="G47" s="623">
        <f t="shared" si="7"/>
        <v>1.109560322122881</v>
      </c>
      <c r="H47" s="624">
        <f aca="true" t="shared" si="14" ref="H47:N47">H48</f>
        <v>190000</v>
      </c>
      <c r="I47" s="624">
        <f t="shared" si="14"/>
        <v>0</v>
      </c>
      <c r="J47" s="624">
        <f t="shared" si="14"/>
        <v>0</v>
      </c>
      <c r="K47" s="624">
        <f t="shared" si="14"/>
        <v>185000</v>
      </c>
      <c r="L47" s="624">
        <f t="shared" si="14"/>
        <v>0</v>
      </c>
      <c r="M47" s="624">
        <f t="shared" si="14"/>
        <v>5000</v>
      </c>
      <c r="N47" s="625">
        <f t="shared" si="14"/>
        <v>0</v>
      </c>
      <c r="O47" s="196"/>
    </row>
    <row r="48" spans="1:15" s="91" customFormat="1" ht="29.25" customHeight="1">
      <c r="A48" s="483"/>
      <c r="B48" s="637" t="s">
        <v>322</v>
      </c>
      <c r="C48" s="638" t="s">
        <v>323</v>
      </c>
      <c r="D48" s="484">
        <v>171239</v>
      </c>
      <c r="E48" s="485">
        <v>171239</v>
      </c>
      <c r="F48" s="486">
        <f>H48+N48</f>
        <v>190000</v>
      </c>
      <c r="G48" s="487">
        <f t="shared" si="7"/>
        <v>1.109560322122881</v>
      </c>
      <c r="H48" s="484">
        <f>SUM(I48:M48)</f>
        <v>190000</v>
      </c>
      <c r="I48" s="484"/>
      <c r="J48" s="484"/>
      <c r="K48" s="484">
        <v>185000</v>
      </c>
      <c r="L48" s="484"/>
      <c r="M48" s="484">
        <v>5000</v>
      </c>
      <c r="N48" s="484"/>
      <c r="O48" s="196"/>
    </row>
    <row r="49" spans="1:15" s="87" customFormat="1" ht="29.25" customHeight="1">
      <c r="A49" s="135"/>
      <c r="B49" s="135"/>
      <c r="C49" s="136"/>
      <c r="D49" s="137"/>
      <c r="E49" s="137"/>
      <c r="F49" s="137"/>
      <c r="G49" s="138"/>
      <c r="H49" s="137"/>
      <c r="I49" s="137"/>
      <c r="J49" s="137"/>
      <c r="K49" s="137"/>
      <c r="L49" s="137"/>
      <c r="M49" s="137"/>
      <c r="N49" s="137"/>
      <c r="O49" s="196"/>
    </row>
    <row r="50" spans="1:14" s="43" customFormat="1" ht="6" customHeight="1" thickBot="1">
      <c r="A50" s="209">
        <v>1</v>
      </c>
      <c r="B50" s="209">
        <v>2</v>
      </c>
      <c r="C50" s="209">
        <v>3</v>
      </c>
      <c r="D50" s="209">
        <v>4</v>
      </c>
      <c r="E50" s="209">
        <v>5</v>
      </c>
      <c r="F50" s="209">
        <v>4</v>
      </c>
      <c r="G50" s="209">
        <v>7</v>
      </c>
      <c r="H50" s="209">
        <v>5</v>
      </c>
      <c r="I50" s="209">
        <v>6</v>
      </c>
      <c r="J50" s="209">
        <v>7</v>
      </c>
      <c r="K50" s="209">
        <v>8</v>
      </c>
      <c r="L50" s="209">
        <v>9</v>
      </c>
      <c r="M50" s="209">
        <v>10</v>
      </c>
      <c r="N50" s="209">
        <v>11</v>
      </c>
    </row>
    <row r="51" spans="1:15" s="631" customFormat="1" ht="26.25" customHeight="1" thickBot="1">
      <c r="A51" s="619" t="s">
        <v>324</v>
      </c>
      <c r="B51" s="620"/>
      <c r="C51" s="626" t="s">
        <v>262</v>
      </c>
      <c r="D51" s="624">
        <f>D52</f>
        <v>23745</v>
      </c>
      <c r="E51" s="627">
        <f>E52</f>
        <v>23745</v>
      </c>
      <c r="F51" s="622">
        <f>F52</f>
        <v>70000</v>
      </c>
      <c r="G51" s="623">
        <f t="shared" si="7"/>
        <v>2.9479890503263846</v>
      </c>
      <c r="H51" s="624">
        <f aca="true" t="shared" si="15" ref="H51:N51">H52</f>
        <v>70000</v>
      </c>
      <c r="I51" s="624">
        <f t="shared" si="15"/>
        <v>0</v>
      </c>
      <c r="J51" s="624">
        <f t="shared" si="15"/>
        <v>0</v>
      </c>
      <c r="K51" s="624">
        <f t="shared" si="15"/>
        <v>0</v>
      </c>
      <c r="L51" s="624">
        <f t="shared" si="15"/>
        <v>0</v>
      </c>
      <c r="M51" s="624">
        <f t="shared" si="15"/>
        <v>70000</v>
      </c>
      <c r="N51" s="625">
        <f t="shared" si="15"/>
        <v>0</v>
      </c>
      <c r="O51" s="196"/>
    </row>
    <row r="52" spans="1:15" s="91" customFormat="1" ht="19.5" customHeight="1">
      <c r="A52" s="207"/>
      <c r="B52" s="635" t="s">
        <v>325</v>
      </c>
      <c r="C52" s="636" t="s">
        <v>693</v>
      </c>
      <c r="D52" s="211">
        <v>23745</v>
      </c>
      <c r="E52" s="493">
        <v>23745</v>
      </c>
      <c r="F52" s="211">
        <f aca="true" t="shared" si="16" ref="F52:L52">SUM(F53:F54)</f>
        <v>70000</v>
      </c>
      <c r="G52" s="211">
        <f t="shared" si="16"/>
        <v>0.06082776316881905</v>
      </c>
      <c r="H52" s="211">
        <f t="shared" si="16"/>
        <v>70000</v>
      </c>
      <c r="I52" s="211">
        <f t="shared" si="16"/>
        <v>0</v>
      </c>
      <c r="J52" s="211">
        <f t="shared" si="16"/>
        <v>0</v>
      </c>
      <c r="K52" s="211">
        <f t="shared" si="16"/>
        <v>0</v>
      </c>
      <c r="L52" s="211">
        <f t="shared" si="16"/>
        <v>0</v>
      </c>
      <c r="M52" s="211">
        <f>SUM(M53:M54)</f>
        <v>70000</v>
      </c>
      <c r="N52" s="211">
        <f>SUM(N53:N54)</f>
        <v>0</v>
      </c>
      <c r="O52" s="196"/>
    </row>
    <row r="53" spans="1:15" s="91" customFormat="1" ht="19.5" customHeight="1">
      <c r="A53" s="89"/>
      <c r="B53" s="202"/>
      <c r="C53" s="479" t="s">
        <v>694</v>
      </c>
      <c r="D53" s="480">
        <f>1457083+8189</f>
        <v>1465272</v>
      </c>
      <c r="E53" s="481">
        <v>1463650</v>
      </c>
      <c r="F53" s="482">
        <f>H53+N53</f>
        <v>55000</v>
      </c>
      <c r="G53" s="248">
        <f>F53/D53</f>
        <v>0.037535693031737455</v>
      </c>
      <c r="H53" s="456">
        <f>SUM(I53:M53)</f>
        <v>55000</v>
      </c>
      <c r="I53" s="480"/>
      <c r="J53" s="480"/>
      <c r="K53" s="480"/>
      <c r="L53" s="480"/>
      <c r="M53" s="480">
        <v>55000</v>
      </c>
      <c r="N53" s="480"/>
      <c r="O53" s="196"/>
    </row>
    <row r="54" spans="1:15" s="91" customFormat="1" ht="28.5" customHeight="1" thickBot="1">
      <c r="A54" s="449"/>
      <c r="B54" s="449"/>
      <c r="C54" s="611" t="s">
        <v>695</v>
      </c>
      <c r="D54" s="454">
        <v>643996</v>
      </c>
      <c r="E54" s="475">
        <v>646988</v>
      </c>
      <c r="F54" s="477">
        <f>H54+N54</f>
        <v>15000</v>
      </c>
      <c r="G54" s="250">
        <f>F54/D54</f>
        <v>0.023292070137081598</v>
      </c>
      <c r="H54" s="455">
        <f>SUM(I54:M54)</f>
        <v>15000</v>
      </c>
      <c r="I54" s="454"/>
      <c r="J54" s="454"/>
      <c r="K54" s="454"/>
      <c r="L54" s="454"/>
      <c r="M54" s="454">
        <v>15000</v>
      </c>
      <c r="N54" s="454"/>
      <c r="O54" s="196"/>
    </row>
    <row r="55" spans="1:15" s="631" customFormat="1" ht="27.75" customHeight="1" thickBot="1">
      <c r="A55" s="619" t="s">
        <v>250</v>
      </c>
      <c r="B55" s="620"/>
      <c r="C55" s="626" t="s">
        <v>263</v>
      </c>
      <c r="D55" s="624">
        <f>D56+D59+D62+D63+D64+D69+D65</f>
        <v>3919817</v>
      </c>
      <c r="E55" s="627">
        <f>E56+E59+E62+E63+E64+E69+E65</f>
        <v>3883225</v>
      </c>
      <c r="F55" s="622">
        <f>F56+F59+F62+F63+F64+F65+F69</f>
        <v>3923514</v>
      </c>
      <c r="G55" s="623">
        <f t="shared" si="7"/>
        <v>1.0009431562748976</v>
      </c>
      <c r="H55" s="624">
        <f aca="true" t="shared" si="17" ref="H55:N55">H56+H59+H62+H63+H64+H65+H69</f>
        <v>3655214</v>
      </c>
      <c r="I55" s="624">
        <f t="shared" si="17"/>
        <v>2819880</v>
      </c>
      <c r="J55" s="624">
        <f t="shared" si="17"/>
        <v>3500</v>
      </c>
      <c r="K55" s="624">
        <f t="shared" si="17"/>
        <v>0</v>
      </c>
      <c r="L55" s="624">
        <f t="shared" si="17"/>
        <v>0</v>
      </c>
      <c r="M55" s="624">
        <f t="shared" si="17"/>
        <v>831834</v>
      </c>
      <c r="N55" s="625">
        <f t="shared" si="17"/>
        <v>268300</v>
      </c>
      <c r="O55" s="196"/>
    </row>
    <row r="56" spans="1:15" s="91" customFormat="1" ht="21" customHeight="1">
      <c r="A56" s="202"/>
      <c r="B56" s="637" t="s">
        <v>251</v>
      </c>
      <c r="C56" s="638" t="s">
        <v>326</v>
      </c>
      <c r="D56" s="484">
        <f>SUM(D57:D58)</f>
        <v>2109268</v>
      </c>
      <c r="E56" s="485">
        <f>SUM(E57:E58)</f>
        <v>2110638</v>
      </c>
      <c r="F56" s="486">
        <f>SUM(F57:F58)</f>
        <v>2042520</v>
      </c>
      <c r="G56" s="487">
        <f t="shared" si="7"/>
        <v>0.9683548984766279</v>
      </c>
      <c r="H56" s="484">
        <f aca="true" t="shared" si="18" ref="H56:N56">SUM(H57:H58)</f>
        <v>2042520</v>
      </c>
      <c r="I56" s="484">
        <f t="shared" si="18"/>
        <v>1700890</v>
      </c>
      <c r="J56" s="484">
        <f t="shared" si="18"/>
        <v>0</v>
      </c>
      <c r="K56" s="484">
        <f t="shared" si="18"/>
        <v>0</v>
      </c>
      <c r="L56" s="484">
        <f t="shared" si="18"/>
        <v>0</v>
      </c>
      <c r="M56" s="484">
        <f t="shared" si="18"/>
        <v>341630</v>
      </c>
      <c r="N56" s="484">
        <f t="shared" si="18"/>
        <v>0</v>
      </c>
      <c r="O56" s="196"/>
    </row>
    <row r="57" spans="1:15" s="91" customFormat="1" ht="19.5" customHeight="1">
      <c r="A57" s="89"/>
      <c r="B57" s="202"/>
      <c r="C57" s="479" t="s">
        <v>327</v>
      </c>
      <c r="D57" s="480">
        <f>1457083+8189</f>
        <v>1465272</v>
      </c>
      <c r="E57" s="481">
        <v>1463650</v>
      </c>
      <c r="F57" s="482">
        <f aca="true" t="shared" si="19" ref="F57:F108">H57+N57</f>
        <v>1432230</v>
      </c>
      <c r="G57" s="248">
        <f t="shared" si="7"/>
        <v>0.9774499205608242</v>
      </c>
      <c r="H57" s="456">
        <f>SUM(I57:M57)</f>
        <v>1432230</v>
      </c>
      <c r="I57" s="480">
        <f>912860+69800+155980+25100+29358+2</f>
        <v>1193100</v>
      </c>
      <c r="J57" s="480"/>
      <c r="K57" s="480"/>
      <c r="L57" s="480"/>
      <c r="M57" s="480">
        <f>68130+64000+1000+16900+1000+16500+3500+3500+1800+3600+53500+1300+1000+3400</f>
        <v>239130</v>
      </c>
      <c r="N57" s="480"/>
      <c r="O57" s="196"/>
    </row>
    <row r="58" spans="1:15" s="91" customFormat="1" ht="19.5" customHeight="1" thickBot="1">
      <c r="A58" s="449"/>
      <c r="B58" s="449"/>
      <c r="C58" s="452" t="s">
        <v>328</v>
      </c>
      <c r="D58" s="454">
        <v>643996</v>
      </c>
      <c r="E58" s="475">
        <v>646988</v>
      </c>
      <c r="F58" s="477">
        <f t="shared" si="19"/>
        <v>610290</v>
      </c>
      <c r="G58" s="250">
        <f t="shared" si="7"/>
        <v>0.9476611655973018</v>
      </c>
      <c r="H58" s="455">
        <f>SUM(I58:M58)</f>
        <v>610290</v>
      </c>
      <c r="I58" s="454">
        <f>381000+36140+68000+10950+11700</f>
        <v>507790</v>
      </c>
      <c r="J58" s="454"/>
      <c r="K58" s="454"/>
      <c r="L58" s="454"/>
      <c r="M58" s="454">
        <f>31230+16000+500+6920+500+12740+800+3000+1800+2100+23560+650+600+2100</f>
        <v>102500</v>
      </c>
      <c r="N58" s="454"/>
      <c r="O58" s="196"/>
    </row>
    <row r="59" spans="1:15" s="91" customFormat="1" ht="21.75" customHeight="1">
      <c r="A59" s="202"/>
      <c r="B59" s="639" t="s">
        <v>329</v>
      </c>
      <c r="C59" s="640" t="s">
        <v>330</v>
      </c>
      <c r="D59" s="488">
        <f>SUM(D60:D61)</f>
        <v>252274</v>
      </c>
      <c r="E59" s="489">
        <f>SUM(E60:E61)</f>
        <v>238696</v>
      </c>
      <c r="F59" s="486">
        <f>SUM(F60:F61)</f>
        <v>217020</v>
      </c>
      <c r="G59" s="247">
        <f>F59/D59</f>
        <v>0.8602551194336316</v>
      </c>
      <c r="H59" s="488">
        <f>SUM(H60:H61)</f>
        <v>217020</v>
      </c>
      <c r="I59" s="488">
        <f aca="true" t="shared" si="20" ref="I59:N59">SUM(I60:I61)</f>
        <v>175320</v>
      </c>
      <c r="J59" s="488">
        <f t="shared" si="20"/>
        <v>0</v>
      </c>
      <c r="K59" s="488">
        <f t="shared" si="20"/>
        <v>0</v>
      </c>
      <c r="L59" s="488">
        <f t="shared" si="20"/>
        <v>0</v>
      </c>
      <c r="M59" s="488">
        <f t="shared" si="20"/>
        <v>41700</v>
      </c>
      <c r="N59" s="488">
        <f t="shared" si="20"/>
        <v>0</v>
      </c>
      <c r="O59" s="196"/>
    </row>
    <row r="60" spans="1:15" s="91" customFormat="1" ht="19.5" customHeight="1">
      <c r="A60" s="89"/>
      <c r="B60" s="202"/>
      <c r="C60" s="479" t="s">
        <v>327</v>
      </c>
      <c r="D60" s="480">
        <v>165320</v>
      </c>
      <c r="E60" s="481">
        <v>164500</v>
      </c>
      <c r="F60" s="482">
        <f>H60+N60</f>
        <v>167330</v>
      </c>
      <c r="G60" s="248">
        <f>F60/D60</f>
        <v>1.0121582385676264</v>
      </c>
      <c r="H60" s="456">
        <f aca="true" t="shared" si="21" ref="H60:H72">SUM(I60:M60)</f>
        <v>167330</v>
      </c>
      <c r="I60" s="480">
        <f>106350+7480+17900+2880+4910</f>
        <v>139520</v>
      </c>
      <c r="J60" s="480"/>
      <c r="K60" s="480"/>
      <c r="L60" s="480"/>
      <c r="M60" s="480">
        <f>7110+8000+600+2700+200+1500+700+200+100+6450+250</f>
        <v>27810</v>
      </c>
      <c r="N60" s="480"/>
      <c r="O60" s="196"/>
    </row>
    <row r="61" spans="1:15" s="91" customFormat="1" ht="19.5" customHeight="1">
      <c r="A61" s="89"/>
      <c r="B61" s="89"/>
      <c r="C61" s="451" t="s">
        <v>328</v>
      </c>
      <c r="D61" s="453">
        <v>86954</v>
      </c>
      <c r="E61" s="474">
        <v>74196</v>
      </c>
      <c r="F61" s="476">
        <f t="shared" si="19"/>
        <v>49690</v>
      </c>
      <c r="G61" s="467">
        <f t="shared" si="7"/>
        <v>0.5714515720955907</v>
      </c>
      <c r="H61" s="456">
        <f t="shared" si="21"/>
        <v>49690</v>
      </c>
      <c r="I61" s="453">
        <f>26320+2110+4670+750+1950</f>
        <v>35800</v>
      </c>
      <c r="J61" s="453"/>
      <c r="K61" s="453"/>
      <c r="L61" s="453"/>
      <c r="M61" s="453">
        <f>2250+5000+300+980+100+1500+500+200+300+2610+150</f>
        <v>13890</v>
      </c>
      <c r="N61" s="453"/>
      <c r="O61" s="196"/>
    </row>
    <row r="62" spans="1:15" s="91" customFormat="1" ht="21.75" customHeight="1">
      <c r="A62" s="89"/>
      <c r="B62" s="614" t="s">
        <v>379</v>
      </c>
      <c r="C62" s="616" t="s">
        <v>380</v>
      </c>
      <c r="D62" s="90">
        <v>1712</v>
      </c>
      <c r="E62" s="462">
        <v>1712</v>
      </c>
      <c r="F62" s="470">
        <f t="shared" si="19"/>
        <v>3500</v>
      </c>
      <c r="G62" s="467">
        <f t="shared" si="7"/>
        <v>2.044392523364486</v>
      </c>
      <c r="H62" s="203">
        <f t="shared" si="21"/>
        <v>3500</v>
      </c>
      <c r="I62" s="90"/>
      <c r="J62" s="90">
        <v>3500</v>
      </c>
      <c r="K62" s="90"/>
      <c r="L62" s="90"/>
      <c r="M62" s="90"/>
      <c r="N62" s="90"/>
      <c r="O62" s="196"/>
    </row>
    <row r="63" spans="1:15" s="91" customFormat="1" ht="21.75" customHeight="1">
      <c r="A63" s="89"/>
      <c r="B63" s="614" t="s">
        <v>254</v>
      </c>
      <c r="C63" s="616" t="s">
        <v>255</v>
      </c>
      <c r="D63" s="90">
        <f>1115883+8189</f>
        <v>1124072</v>
      </c>
      <c r="E63" s="462">
        <v>1112796</v>
      </c>
      <c r="F63" s="470">
        <f t="shared" si="19"/>
        <v>1143740</v>
      </c>
      <c r="G63" s="467">
        <f t="shared" si="7"/>
        <v>1.0174970998299042</v>
      </c>
      <c r="H63" s="203">
        <f t="shared" si="21"/>
        <v>1143740</v>
      </c>
      <c r="I63" s="88">
        <f>706138+2+55210+123000+19800+21910</f>
        <v>926060</v>
      </c>
      <c r="J63" s="90"/>
      <c r="K63" s="90"/>
      <c r="L63" s="90"/>
      <c r="M63" s="90">
        <f>48380+81000+1500+15300+500+14000+2500+3500+1000+4200+42000+1000+800+2000</f>
        <v>217680</v>
      </c>
      <c r="N63" s="90"/>
      <c r="O63" s="196"/>
    </row>
    <row r="64" spans="1:15" s="91" customFormat="1" ht="21.75" customHeight="1">
      <c r="A64" s="89"/>
      <c r="B64" s="617" t="s">
        <v>331</v>
      </c>
      <c r="C64" s="618" t="s">
        <v>332</v>
      </c>
      <c r="D64" s="206">
        <v>201222</v>
      </c>
      <c r="E64" s="463">
        <v>188120</v>
      </c>
      <c r="F64" s="471">
        <f t="shared" si="19"/>
        <v>222244</v>
      </c>
      <c r="G64" s="282">
        <f t="shared" si="7"/>
        <v>1.104471678047132</v>
      </c>
      <c r="H64" s="208">
        <f t="shared" si="21"/>
        <v>202244</v>
      </c>
      <c r="I64" s="206">
        <f>69934+5100+11483+1887+5000-62000-8500-1300-4800+6</f>
        <v>16810</v>
      </c>
      <c r="J64" s="206"/>
      <c r="K64" s="206"/>
      <c r="L64" s="206"/>
      <c r="M64" s="206">
        <f>57000+4000+42000+100+4500+2414+75420</f>
        <v>185434</v>
      </c>
      <c r="N64" s="206">
        <v>20000</v>
      </c>
      <c r="O64" s="196"/>
    </row>
    <row r="65" spans="1:15" s="91" customFormat="1" ht="30">
      <c r="A65" s="89"/>
      <c r="B65" s="639" t="s">
        <v>382</v>
      </c>
      <c r="C65" s="640" t="s">
        <v>692</v>
      </c>
      <c r="D65" s="488">
        <f>SUM(D66:D68)</f>
        <v>14277</v>
      </c>
      <c r="E65" s="489">
        <f>SUM(E66:E68)</f>
        <v>14277</v>
      </c>
      <c r="F65" s="641">
        <f>SUM(F66:F68)</f>
        <v>14290</v>
      </c>
      <c r="G65" s="642">
        <f>F65/D65</f>
        <v>1.0009105554388176</v>
      </c>
      <c r="H65" s="643">
        <f t="shared" si="21"/>
        <v>14290</v>
      </c>
      <c r="I65" s="643">
        <f aca="true" t="shared" si="22" ref="I65:N65">SUM(I66:I68)</f>
        <v>0</v>
      </c>
      <c r="J65" s="643">
        <f t="shared" si="22"/>
        <v>0</v>
      </c>
      <c r="K65" s="643">
        <f t="shared" si="22"/>
        <v>0</v>
      </c>
      <c r="L65" s="643">
        <f>SUM(L66:L68)</f>
        <v>0</v>
      </c>
      <c r="M65" s="643">
        <f t="shared" si="22"/>
        <v>14290</v>
      </c>
      <c r="N65" s="643">
        <f t="shared" si="22"/>
        <v>0</v>
      </c>
      <c r="O65" s="196"/>
    </row>
    <row r="66" spans="1:15" s="91" customFormat="1" ht="19.5" customHeight="1">
      <c r="A66" s="89"/>
      <c r="B66" s="202"/>
      <c r="C66" s="479" t="s">
        <v>327</v>
      </c>
      <c r="D66" s="480">
        <v>6445</v>
      </c>
      <c r="E66" s="481">
        <v>6445</v>
      </c>
      <c r="F66" s="482">
        <f>H66+N66</f>
        <v>6650</v>
      </c>
      <c r="G66" s="248">
        <f>F66/D66</f>
        <v>1.0318076027928627</v>
      </c>
      <c r="H66" s="456">
        <f t="shared" si="21"/>
        <v>6650</v>
      </c>
      <c r="I66" s="480"/>
      <c r="J66" s="480"/>
      <c r="K66" s="480"/>
      <c r="L66" s="480"/>
      <c r="M66" s="480">
        <v>6650</v>
      </c>
      <c r="N66" s="480"/>
      <c r="O66" s="196"/>
    </row>
    <row r="67" spans="1:15" s="91" customFormat="1" ht="19.5" customHeight="1">
      <c r="A67" s="89"/>
      <c r="B67" s="89"/>
      <c r="C67" s="451" t="s">
        <v>328</v>
      </c>
      <c r="D67" s="453">
        <v>3282</v>
      </c>
      <c r="E67" s="474">
        <v>3282</v>
      </c>
      <c r="F67" s="476">
        <f>H67+N67</f>
        <v>2750</v>
      </c>
      <c r="G67" s="467">
        <f>F67/D67</f>
        <v>0.837903717245582</v>
      </c>
      <c r="H67" s="456">
        <f t="shared" si="21"/>
        <v>2750</v>
      </c>
      <c r="I67" s="453"/>
      <c r="J67" s="453"/>
      <c r="K67" s="453"/>
      <c r="L67" s="453"/>
      <c r="M67" s="453">
        <v>2750</v>
      </c>
      <c r="N67" s="453"/>
      <c r="O67" s="196"/>
    </row>
    <row r="68" spans="1:15" s="91" customFormat="1" ht="19.5" customHeight="1">
      <c r="A68" s="89"/>
      <c r="B68" s="204"/>
      <c r="C68" s="457" t="s">
        <v>381</v>
      </c>
      <c r="D68" s="458">
        <v>4550</v>
      </c>
      <c r="E68" s="490">
        <v>4550</v>
      </c>
      <c r="F68" s="492">
        <f>H68+N68</f>
        <v>4890</v>
      </c>
      <c r="G68" s="282">
        <f>F68/D68</f>
        <v>1.0747252747252747</v>
      </c>
      <c r="H68" s="478">
        <f t="shared" si="21"/>
        <v>4890</v>
      </c>
      <c r="I68" s="458"/>
      <c r="J68" s="458"/>
      <c r="K68" s="458"/>
      <c r="L68" s="458"/>
      <c r="M68" s="458">
        <v>4890</v>
      </c>
      <c r="N68" s="458"/>
      <c r="O68" s="196"/>
    </row>
    <row r="69" spans="1:15" s="91" customFormat="1" ht="21" customHeight="1">
      <c r="A69" s="89"/>
      <c r="B69" s="639" t="s">
        <v>274</v>
      </c>
      <c r="C69" s="640" t="s">
        <v>691</v>
      </c>
      <c r="D69" s="488">
        <f>SUM(D70:D72)</f>
        <v>216992</v>
      </c>
      <c r="E69" s="489">
        <f>SUM(E70:E72)</f>
        <v>216986</v>
      </c>
      <c r="F69" s="641">
        <f>SUM(F70:F72)</f>
        <v>280200</v>
      </c>
      <c r="G69" s="642">
        <f t="shared" si="7"/>
        <v>1.29129184486064</v>
      </c>
      <c r="H69" s="643">
        <f t="shared" si="21"/>
        <v>31900</v>
      </c>
      <c r="I69" s="643">
        <f aca="true" t="shared" si="23" ref="I69:N69">SUM(I70:I72)</f>
        <v>800</v>
      </c>
      <c r="J69" s="643">
        <f t="shared" si="23"/>
        <v>0</v>
      </c>
      <c r="K69" s="643">
        <f t="shared" si="23"/>
        <v>0</v>
      </c>
      <c r="L69" s="643">
        <f>SUM(L70:L72)</f>
        <v>0</v>
      </c>
      <c r="M69" s="643">
        <f t="shared" si="23"/>
        <v>31100</v>
      </c>
      <c r="N69" s="643">
        <f t="shared" si="23"/>
        <v>248300</v>
      </c>
      <c r="O69" s="196"/>
    </row>
    <row r="70" spans="1:15" s="91" customFormat="1" ht="19.5" customHeight="1">
      <c r="A70" s="89"/>
      <c r="B70" s="202"/>
      <c r="C70" s="479" t="s">
        <v>327</v>
      </c>
      <c r="D70" s="480">
        <v>16760</v>
      </c>
      <c r="E70" s="481">
        <v>16760</v>
      </c>
      <c r="F70" s="482">
        <f t="shared" si="19"/>
        <v>17647</v>
      </c>
      <c r="G70" s="248">
        <f t="shared" si="7"/>
        <v>1.0529236276849643</v>
      </c>
      <c r="H70" s="456">
        <f t="shared" si="21"/>
        <v>17647</v>
      </c>
      <c r="I70" s="480"/>
      <c r="J70" s="480"/>
      <c r="K70" s="480"/>
      <c r="L70" s="480"/>
      <c r="M70" s="480">
        <f>30000-M71</f>
        <v>17647</v>
      </c>
      <c r="N70" s="480"/>
      <c r="O70" s="196"/>
    </row>
    <row r="71" spans="1:15" s="91" customFormat="1" ht="19.5" customHeight="1">
      <c r="A71" s="204"/>
      <c r="B71" s="204"/>
      <c r="C71" s="457" t="s">
        <v>328</v>
      </c>
      <c r="D71" s="458">
        <v>11732</v>
      </c>
      <c r="E71" s="490">
        <v>11732</v>
      </c>
      <c r="F71" s="492">
        <f>H71+N71</f>
        <v>12353</v>
      </c>
      <c r="G71" s="282">
        <f>F71/D71</f>
        <v>1.0529321513808387</v>
      </c>
      <c r="H71" s="456">
        <f>SUM(I71:M71)</f>
        <v>12353</v>
      </c>
      <c r="I71" s="458"/>
      <c r="J71" s="458"/>
      <c r="K71" s="458"/>
      <c r="L71" s="458"/>
      <c r="M71" s="458">
        <v>12353</v>
      </c>
      <c r="N71" s="458"/>
      <c r="O71" s="196"/>
    </row>
    <row r="72" spans="1:15" s="91" customFormat="1" ht="19.5" customHeight="1" thickBot="1">
      <c r="A72" s="204"/>
      <c r="B72" s="204"/>
      <c r="C72" s="457" t="s">
        <v>566</v>
      </c>
      <c r="D72" s="458">
        <f>180000+1500+7000</f>
        <v>188500</v>
      </c>
      <c r="E72" s="490">
        <f>177000+10000+1494</f>
        <v>188494</v>
      </c>
      <c r="F72" s="492">
        <f t="shared" si="19"/>
        <v>250200</v>
      </c>
      <c r="G72" s="282">
        <f t="shared" si="7"/>
        <v>1.3273209549071618</v>
      </c>
      <c r="H72" s="478">
        <f t="shared" si="21"/>
        <v>1900</v>
      </c>
      <c r="I72" s="458">
        <v>800</v>
      </c>
      <c r="J72" s="458"/>
      <c r="K72" s="458"/>
      <c r="L72" s="458"/>
      <c r="M72" s="458">
        <f>1100+30000-30000</f>
        <v>1100</v>
      </c>
      <c r="N72" s="458">
        <f>176300+12000+30000+30000</f>
        <v>248300</v>
      </c>
      <c r="O72" s="196"/>
    </row>
    <row r="73" spans="1:15" s="631" customFormat="1" ht="25.5" customHeight="1" thickBot="1">
      <c r="A73" s="619" t="s">
        <v>333</v>
      </c>
      <c r="B73" s="620"/>
      <c r="C73" s="626" t="s">
        <v>266</v>
      </c>
      <c r="D73" s="624">
        <f>SUM(D74:D76)</f>
        <v>169000</v>
      </c>
      <c r="E73" s="627">
        <f>SUM(E74:E76)</f>
        <v>167800</v>
      </c>
      <c r="F73" s="622">
        <f>SUM(F74:F76)</f>
        <v>2959000</v>
      </c>
      <c r="G73" s="623">
        <f t="shared" si="7"/>
        <v>17.50887573964497</v>
      </c>
      <c r="H73" s="624">
        <f aca="true" t="shared" si="24" ref="H73:N73">SUM(H74:H76)</f>
        <v>73300</v>
      </c>
      <c r="I73" s="624">
        <f t="shared" si="24"/>
        <v>9900</v>
      </c>
      <c r="J73" s="624">
        <f t="shared" si="24"/>
        <v>45000</v>
      </c>
      <c r="K73" s="624">
        <f t="shared" si="24"/>
        <v>0</v>
      </c>
      <c r="L73" s="624">
        <f>SUM(L74:L76)</f>
        <v>0</v>
      </c>
      <c r="M73" s="624">
        <f t="shared" si="24"/>
        <v>18400</v>
      </c>
      <c r="N73" s="625">
        <f t="shared" si="24"/>
        <v>2885700</v>
      </c>
      <c r="O73" s="196"/>
    </row>
    <row r="74" spans="1:15" s="91" customFormat="1" ht="21.75" customHeight="1">
      <c r="A74" s="202"/>
      <c r="B74" s="612" t="s">
        <v>334</v>
      </c>
      <c r="C74" s="630" t="s">
        <v>267</v>
      </c>
      <c r="D74" s="203">
        <v>107000</v>
      </c>
      <c r="E74" s="461">
        <v>105800</v>
      </c>
      <c r="F74" s="469">
        <f t="shared" si="19"/>
        <v>2895700</v>
      </c>
      <c r="G74" s="248">
        <f t="shared" si="7"/>
        <v>27.062616822429906</v>
      </c>
      <c r="H74" s="203">
        <f>SUM(I74:M74)</f>
        <v>10000</v>
      </c>
      <c r="I74" s="203"/>
      <c r="J74" s="203">
        <v>10000</v>
      </c>
      <c r="K74" s="203"/>
      <c r="L74" s="203"/>
      <c r="M74" s="203"/>
      <c r="N74" s="203">
        <f>2353000+455000+77700</f>
        <v>2885700</v>
      </c>
      <c r="O74" s="196"/>
    </row>
    <row r="75" spans="1:15" s="91" customFormat="1" ht="21.75" customHeight="1">
      <c r="A75" s="89"/>
      <c r="B75" s="614" t="s">
        <v>335</v>
      </c>
      <c r="C75" s="616" t="s">
        <v>336</v>
      </c>
      <c r="D75" s="90">
        <v>500</v>
      </c>
      <c r="E75" s="462">
        <v>500</v>
      </c>
      <c r="F75" s="470">
        <f t="shared" si="19"/>
        <v>1000</v>
      </c>
      <c r="G75" s="467">
        <f t="shared" si="7"/>
        <v>2</v>
      </c>
      <c r="H75" s="203">
        <f>SUM(I75:M75)</f>
        <v>1000</v>
      </c>
      <c r="I75" s="90"/>
      <c r="J75" s="90"/>
      <c r="K75" s="90"/>
      <c r="L75" s="90"/>
      <c r="M75" s="90">
        <v>1000</v>
      </c>
      <c r="N75" s="90"/>
      <c r="O75" s="196"/>
    </row>
    <row r="76" spans="1:15" s="91" customFormat="1" ht="21.75" customHeight="1">
      <c r="A76" s="449"/>
      <c r="B76" s="632" t="s">
        <v>337</v>
      </c>
      <c r="C76" s="633" t="s">
        <v>338</v>
      </c>
      <c r="D76" s="450">
        <v>61500</v>
      </c>
      <c r="E76" s="465">
        <v>61500</v>
      </c>
      <c r="F76" s="634">
        <f t="shared" si="19"/>
        <v>62300</v>
      </c>
      <c r="G76" s="250">
        <f t="shared" si="7"/>
        <v>1.0130081300813008</v>
      </c>
      <c r="H76" s="450">
        <f>SUM(I76:M76)</f>
        <v>62300</v>
      </c>
      <c r="I76" s="450">
        <v>9900</v>
      </c>
      <c r="J76" s="450">
        <f>5000+20000+10000</f>
        <v>35000</v>
      </c>
      <c r="K76" s="450"/>
      <c r="L76" s="450"/>
      <c r="M76" s="450">
        <f>10000+10000+7000+400-10000</f>
        <v>17400</v>
      </c>
      <c r="N76" s="450"/>
      <c r="O76" s="196"/>
    </row>
    <row r="77" spans="1:15" s="87" customFormat="1" ht="9.75" customHeight="1">
      <c r="A77" s="135"/>
      <c r="B77" s="135"/>
      <c r="C77" s="136"/>
      <c r="D77" s="137"/>
      <c r="E77" s="137"/>
      <c r="F77" s="137"/>
      <c r="G77" s="138"/>
      <c r="H77" s="137"/>
      <c r="I77" s="137"/>
      <c r="J77" s="137"/>
      <c r="K77" s="137"/>
      <c r="L77" s="137"/>
      <c r="M77" s="137"/>
      <c r="N77" s="137"/>
      <c r="O77" s="196"/>
    </row>
    <row r="78" spans="1:14" s="43" customFormat="1" ht="6" customHeight="1" thickBot="1">
      <c r="A78" s="209">
        <v>1</v>
      </c>
      <c r="B78" s="209">
        <v>2</v>
      </c>
      <c r="C78" s="209">
        <v>3</v>
      </c>
      <c r="D78" s="209">
        <v>4</v>
      </c>
      <c r="E78" s="209">
        <v>5</v>
      </c>
      <c r="F78" s="209">
        <v>4</v>
      </c>
      <c r="G78" s="209">
        <v>7</v>
      </c>
      <c r="H78" s="209">
        <v>5</v>
      </c>
      <c r="I78" s="209">
        <v>6</v>
      </c>
      <c r="J78" s="209">
        <v>7</v>
      </c>
      <c r="K78" s="209">
        <v>8</v>
      </c>
      <c r="L78" s="209">
        <v>9</v>
      </c>
      <c r="M78" s="209">
        <v>10</v>
      </c>
      <c r="N78" s="209">
        <v>11</v>
      </c>
    </row>
    <row r="79" spans="1:15" s="631" customFormat="1" ht="26.25" customHeight="1" thickBot="1">
      <c r="A79" s="619" t="s">
        <v>339</v>
      </c>
      <c r="B79" s="620"/>
      <c r="C79" s="626" t="s">
        <v>221</v>
      </c>
      <c r="D79" s="624">
        <f>SUM(D80:D86)</f>
        <v>3062594</v>
      </c>
      <c r="E79" s="627">
        <f>SUM(E80:E86)</f>
        <v>3062594</v>
      </c>
      <c r="F79" s="622">
        <f>SUM(F80:F86)</f>
        <v>3161660</v>
      </c>
      <c r="G79" s="623">
        <f t="shared" si="7"/>
        <v>1.032347088775071</v>
      </c>
      <c r="H79" s="624">
        <f aca="true" t="shared" si="25" ref="H79:N79">SUM(H80:H86)</f>
        <v>3161660</v>
      </c>
      <c r="I79" s="624">
        <f t="shared" si="25"/>
        <v>498983</v>
      </c>
      <c r="J79" s="624">
        <f t="shared" si="25"/>
        <v>45000</v>
      </c>
      <c r="K79" s="624">
        <f t="shared" si="25"/>
        <v>0</v>
      </c>
      <c r="L79" s="624">
        <f t="shared" si="25"/>
        <v>0</v>
      </c>
      <c r="M79" s="624">
        <f t="shared" si="25"/>
        <v>2617677</v>
      </c>
      <c r="N79" s="624">
        <f t="shared" si="25"/>
        <v>0</v>
      </c>
      <c r="O79" s="196"/>
    </row>
    <row r="80" spans="1:15" s="91" customFormat="1" ht="21" customHeight="1">
      <c r="A80" s="202"/>
      <c r="B80" s="612" t="s">
        <v>340</v>
      </c>
      <c r="C80" s="630" t="s">
        <v>341</v>
      </c>
      <c r="D80" s="203">
        <v>26350</v>
      </c>
      <c r="E80" s="461">
        <f aca="true" t="shared" si="26" ref="E80:E85">D80</f>
        <v>26350</v>
      </c>
      <c r="F80" s="469">
        <f t="shared" si="19"/>
        <v>45000</v>
      </c>
      <c r="G80" s="248">
        <f t="shared" si="7"/>
        <v>1.7077798861480076</v>
      </c>
      <c r="H80" s="203">
        <f aca="true" t="shared" si="27" ref="H80:H85">SUM(I80:M80)</f>
        <v>45000</v>
      </c>
      <c r="I80" s="203"/>
      <c r="J80" s="203"/>
      <c r="K80" s="203"/>
      <c r="L80" s="203"/>
      <c r="M80" s="203">
        <f>60000-15000</f>
        <v>45000</v>
      </c>
      <c r="N80" s="203"/>
      <c r="O80" s="196"/>
    </row>
    <row r="81" spans="1:15" s="91" customFormat="1" ht="45">
      <c r="A81" s="89"/>
      <c r="B81" s="614" t="s">
        <v>342</v>
      </c>
      <c r="C81" s="616" t="s">
        <v>256</v>
      </c>
      <c r="D81" s="90">
        <v>1578000</v>
      </c>
      <c r="E81" s="462">
        <f t="shared" si="26"/>
        <v>1578000</v>
      </c>
      <c r="F81" s="470">
        <f t="shared" si="19"/>
        <v>1599000</v>
      </c>
      <c r="G81" s="467">
        <f t="shared" si="7"/>
        <v>1.0133079847908746</v>
      </c>
      <c r="H81" s="203">
        <f t="shared" si="27"/>
        <v>1599000</v>
      </c>
      <c r="I81" s="90">
        <f>33155+2500+22652+874</f>
        <v>59181</v>
      </c>
      <c r="J81" s="90"/>
      <c r="K81" s="90"/>
      <c r="L81" s="90"/>
      <c r="M81" s="90">
        <f>1533987+1000+1000+719+1713+700+700</f>
        <v>1539819</v>
      </c>
      <c r="N81" s="90"/>
      <c r="O81" s="196"/>
    </row>
    <row r="82" spans="1:15" s="91" customFormat="1" ht="60">
      <c r="A82" s="89"/>
      <c r="B82" s="614" t="s">
        <v>343</v>
      </c>
      <c r="C82" s="616" t="s">
        <v>257</v>
      </c>
      <c r="D82" s="90">
        <v>18000</v>
      </c>
      <c r="E82" s="462">
        <f t="shared" si="26"/>
        <v>18000</v>
      </c>
      <c r="F82" s="470">
        <f t="shared" si="19"/>
        <v>20000</v>
      </c>
      <c r="G82" s="467">
        <f t="shared" si="7"/>
        <v>1.1111111111111112</v>
      </c>
      <c r="H82" s="203">
        <f t="shared" si="27"/>
        <v>20000</v>
      </c>
      <c r="I82" s="90">
        <v>20000</v>
      </c>
      <c r="J82" s="90"/>
      <c r="K82" s="90"/>
      <c r="L82" s="90"/>
      <c r="M82" s="90"/>
      <c r="N82" s="90"/>
      <c r="O82" s="196"/>
    </row>
    <row r="83" spans="1:15" s="91" customFormat="1" ht="30">
      <c r="A83" s="89"/>
      <c r="B83" s="614" t="s">
        <v>344</v>
      </c>
      <c r="C83" s="616" t="s">
        <v>258</v>
      </c>
      <c r="D83" s="90">
        <v>611304</v>
      </c>
      <c r="E83" s="462">
        <f t="shared" si="26"/>
        <v>611304</v>
      </c>
      <c r="F83" s="470">
        <f t="shared" si="19"/>
        <v>710000</v>
      </c>
      <c r="G83" s="467">
        <f t="shared" si="7"/>
        <v>1.1614515854632066</v>
      </c>
      <c r="H83" s="203">
        <f t="shared" si="27"/>
        <v>710000</v>
      </c>
      <c r="I83" s="90"/>
      <c r="J83" s="90"/>
      <c r="K83" s="90"/>
      <c r="L83" s="90"/>
      <c r="M83" s="90">
        <f>711000-1000</f>
        <v>710000</v>
      </c>
      <c r="N83" s="90"/>
      <c r="O83" s="196"/>
    </row>
    <row r="84" spans="1:15" s="91" customFormat="1" ht="22.5" customHeight="1">
      <c r="A84" s="89"/>
      <c r="B84" s="614" t="s">
        <v>345</v>
      </c>
      <c r="C84" s="616" t="s">
        <v>346</v>
      </c>
      <c r="D84" s="90">
        <v>95900</v>
      </c>
      <c r="E84" s="462">
        <f t="shared" si="26"/>
        <v>95900</v>
      </c>
      <c r="F84" s="470">
        <f>H84+N84</f>
        <v>100000</v>
      </c>
      <c r="G84" s="467">
        <f t="shared" si="7"/>
        <v>1.0427528675703859</v>
      </c>
      <c r="H84" s="203">
        <f t="shared" si="27"/>
        <v>100000</v>
      </c>
      <c r="I84" s="90"/>
      <c r="J84" s="90"/>
      <c r="K84" s="90"/>
      <c r="L84" s="90"/>
      <c r="M84" s="90">
        <f>120000-20000</f>
        <v>100000</v>
      </c>
      <c r="N84" s="90"/>
      <c r="O84" s="196"/>
    </row>
    <row r="85" spans="1:15" s="91" customFormat="1" ht="22.5" customHeight="1">
      <c r="A85" s="89"/>
      <c r="B85" s="617" t="s">
        <v>347</v>
      </c>
      <c r="C85" s="618" t="s">
        <v>222</v>
      </c>
      <c r="D85" s="206">
        <v>467260</v>
      </c>
      <c r="E85" s="463">
        <f t="shared" si="26"/>
        <v>467260</v>
      </c>
      <c r="F85" s="471">
        <f t="shared" si="19"/>
        <v>464160</v>
      </c>
      <c r="G85" s="282">
        <f t="shared" si="7"/>
        <v>0.993365578050764</v>
      </c>
      <c r="H85" s="208">
        <f t="shared" si="27"/>
        <v>464160</v>
      </c>
      <c r="I85" s="206">
        <f>399166+23800+66533+10363-38960-6000-100-35000</f>
        <v>419802</v>
      </c>
      <c r="J85" s="206"/>
      <c r="K85" s="206"/>
      <c r="L85" s="206"/>
      <c r="M85" s="206">
        <f>9500+2500+800+3200+800+2200+500+1000+14558+4000+1500+3800</f>
        <v>44358</v>
      </c>
      <c r="N85" s="206"/>
      <c r="O85" s="196"/>
    </row>
    <row r="86" spans="1:15" s="91" customFormat="1" ht="22.5" customHeight="1">
      <c r="A86" s="89"/>
      <c r="B86" s="639" t="s">
        <v>348</v>
      </c>
      <c r="C86" s="640" t="s">
        <v>691</v>
      </c>
      <c r="D86" s="488">
        <v>265780</v>
      </c>
      <c r="E86" s="489">
        <f>D86</f>
        <v>265780</v>
      </c>
      <c r="F86" s="491">
        <f t="shared" si="19"/>
        <v>223500</v>
      </c>
      <c r="G86" s="247">
        <f t="shared" si="7"/>
        <v>0.840921062532922</v>
      </c>
      <c r="H86" s="488">
        <f aca="true" t="shared" si="28" ref="H86:N86">SUM(H87:H88)</f>
        <v>223500</v>
      </c>
      <c r="I86" s="488">
        <f t="shared" si="28"/>
        <v>0</v>
      </c>
      <c r="J86" s="488">
        <f t="shared" si="28"/>
        <v>45000</v>
      </c>
      <c r="K86" s="488">
        <f t="shared" si="28"/>
        <v>0</v>
      </c>
      <c r="L86" s="488">
        <f t="shared" si="28"/>
        <v>0</v>
      </c>
      <c r="M86" s="488">
        <f t="shared" si="28"/>
        <v>178500</v>
      </c>
      <c r="N86" s="488">
        <f t="shared" si="28"/>
        <v>0</v>
      </c>
      <c r="O86" s="196"/>
    </row>
    <row r="87" spans="1:15" s="91" customFormat="1" ht="19.5" customHeight="1">
      <c r="A87" s="207"/>
      <c r="B87" s="207"/>
      <c r="C87" s="479" t="s">
        <v>690</v>
      </c>
      <c r="D87" s="608">
        <v>11732</v>
      </c>
      <c r="E87" s="609">
        <v>11732</v>
      </c>
      <c r="F87" s="610">
        <f>H87+N87</f>
        <v>177000</v>
      </c>
      <c r="G87" s="249">
        <f>F87/D87</f>
        <v>15.086941697920219</v>
      </c>
      <c r="H87" s="456">
        <f>SUM(I87:M87)</f>
        <v>177000</v>
      </c>
      <c r="I87" s="608"/>
      <c r="J87" s="608"/>
      <c r="K87" s="608"/>
      <c r="L87" s="608"/>
      <c r="M87" s="608">
        <v>177000</v>
      </c>
      <c r="N87" s="608"/>
      <c r="O87" s="196"/>
    </row>
    <row r="88" spans="1:15" s="91" customFormat="1" ht="19.5" customHeight="1" thickBot="1">
      <c r="A88" s="204"/>
      <c r="B88" s="204"/>
      <c r="C88" s="457" t="s">
        <v>566</v>
      </c>
      <c r="D88" s="458">
        <f>180000+1500+7000</f>
        <v>188500</v>
      </c>
      <c r="E88" s="490">
        <f>177000+10000+1494</f>
        <v>188494</v>
      </c>
      <c r="F88" s="492">
        <f>H88+N88</f>
        <v>46500</v>
      </c>
      <c r="G88" s="282">
        <f>F88/D88</f>
        <v>0.246684350132626</v>
      </c>
      <c r="H88" s="478">
        <f>SUM(I88:M88)</f>
        <v>46500</v>
      </c>
      <c r="I88" s="458"/>
      <c r="J88" s="458">
        <v>45000</v>
      </c>
      <c r="K88" s="458"/>
      <c r="L88" s="458"/>
      <c r="M88" s="458">
        <v>1500</v>
      </c>
      <c r="N88" s="458"/>
      <c r="O88" s="196"/>
    </row>
    <row r="89" spans="1:15" s="631" customFormat="1" ht="27.75" customHeight="1" thickBot="1">
      <c r="A89" s="619" t="s">
        <v>349</v>
      </c>
      <c r="B89" s="620"/>
      <c r="C89" s="626" t="s">
        <v>268</v>
      </c>
      <c r="D89" s="624">
        <f>SUM(D90:D92)</f>
        <v>180223</v>
      </c>
      <c r="E89" s="627">
        <f>SUM(E90:E92)</f>
        <v>180223</v>
      </c>
      <c r="F89" s="622">
        <f>SUM(F90:F92)</f>
        <v>13600</v>
      </c>
      <c r="G89" s="623">
        <f t="shared" si="7"/>
        <v>0.07546206643991056</v>
      </c>
      <c r="H89" s="624">
        <f aca="true" t="shared" si="29" ref="H89:N89">SUM(H90:H92)</f>
        <v>13600</v>
      </c>
      <c r="I89" s="624">
        <f t="shared" si="29"/>
        <v>0</v>
      </c>
      <c r="J89" s="624">
        <f t="shared" si="29"/>
        <v>0</v>
      </c>
      <c r="K89" s="624">
        <f t="shared" si="29"/>
        <v>0</v>
      </c>
      <c r="L89" s="624">
        <f>SUM(L90:L92)</f>
        <v>0</v>
      </c>
      <c r="M89" s="624">
        <f t="shared" si="29"/>
        <v>13600</v>
      </c>
      <c r="N89" s="625">
        <f t="shared" si="29"/>
        <v>0</v>
      </c>
      <c r="O89" s="196"/>
    </row>
    <row r="90" spans="1:15" s="91" customFormat="1" ht="19.5" customHeight="1">
      <c r="A90" s="202"/>
      <c r="B90" s="825" t="s">
        <v>355</v>
      </c>
      <c r="C90" s="826" t="s">
        <v>356</v>
      </c>
      <c r="D90" s="602"/>
      <c r="E90" s="827"/>
      <c r="F90" s="828">
        <f t="shared" si="19"/>
        <v>3600</v>
      </c>
      <c r="G90" s="829"/>
      <c r="H90" s="602">
        <f>SUM(I90:M90)</f>
        <v>3600</v>
      </c>
      <c r="I90" s="602"/>
      <c r="J90" s="602"/>
      <c r="K90" s="602"/>
      <c r="L90" s="602"/>
      <c r="M90" s="602">
        <v>3600</v>
      </c>
      <c r="N90" s="602"/>
      <c r="O90" s="196"/>
    </row>
    <row r="91" spans="1:15" s="91" customFormat="1" ht="45.75" thickBot="1">
      <c r="A91" s="202"/>
      <c r="B91" s="612" t="s">
        <v>357</v>
      </c>
      <c r="C91" s="630" t="s">
        <v>358</v>
      </c>
      <c r="D91" s="203">
        <v>10000</v>
      </c>
      <c r="E91" s="461">
        <v>10000</v>
      </c>
      <c r="F91" s="469">
        <f t="shared" si="19"/>
        <v>10000</v>
      </c>
      <c r="G91" s="248">
        <f t="shared" si="7"/>
        <v>1</v>
      </c>
      <c r="H91" s="203">
        <f>SUM(I91:M91)</f>
        <v>10000</v>
      </c>
      <c r="I91" s="203"/>
      <c r="J91" s="203"/>
      <c r="K91" s="203"/>
      <c r="L91" s="203"/>
      <c r="M91" s="203">
        <v>10000</v>
      </c>
      <c r="N91" s="203"/>
      <c r="O91" s="196"/>
    </row>
    <row r="92" spans="1:15" s="91" customFormat="1" ht="19.5" customHeight="1" hidden="1" thickBot="1">
      <c r="A92" s="204"/>
      <c r="B92" s="204" t="s">
        <v>359</v>
      </c>
      <c r="C92" s="205" t="s">
        <v>259</v>
      </c>
      <c r="D92" s="206">
        <v>170223</v>
      </c>
      <c r="E92" s="463">
        <v>170223</v>
      </c>
      <c r="F92" s="471">
        <f t="shared" si="19"/>
        <v>0</v>
      </c>
      <c r="G92" s="282">
        <f t="shared" si="7"/>
        <v>0</v>
      </c>
      <c r="H92" s="206"/>
      <c r="I92" s="206"/>
      <c r="J92" s="206"/>
      <c r="K92" s="206"/>
      <c r="L92" s="206"/>
      <c r="M92" s="206"/>
      <c r="N92" s="206"/>
      <c r="O92" s="196"/>
    </row>
    <row r="93" spans="1:15" s="631" customFormat="1" ht="32.25" thickBot="1">
      <c r="A93" s="619" t="s">
        <v>360</v>
      </c>
      <c r="B93" s="620"/>
      <c r="C93" s="626" t="s">
        <v>269</v>
      </c>
      <c r="D93" s="624">
        <f>SUM(D94:D99)</f>
        <v>862188</v>
      </c>
      <c r="E93" s="627">
        <f>SUM(E94:E99)</f>
        <v>853092</v>
      </c>
      <c r="F93" s="622">
        <f>SUM(F94:F99)</f>
        <v>1105236</v>
      </c>
      <c r="G93" s="623">
        <f t="shared" si="7"/>
        <v>1.2818967556959735</v>
      </c>
      <c r="H93" s="624">
        <f aca="true" t="shared" si="30" ref="H93:N93">SUM(H94:H99)</f>
        <v>244236</v>
      </c>
      <c r="I93" s="624">
        <f t="shared" si="30"/>
        <v>0</v>
      </c>
      <c r="J93" s="624">
        <f t="shared" si="30"/>
        <v>0</v>
      </c>
      <c r="K93" s="624">
        <f t="shared" si="30"/>
        <v>0</v>
      </c>
      <c r="L93" s="624">
        <f>SUM(L94:L99)</f>
        <v>0</v>
      </c>
      <c r="M93" s="624">
        <f t="shared" si="30"/>
        <v>244236</v>
      </c>
      <c r="N93" s="625">
        <f t="shared" si="30"/>
        <v>861000</v>
      </c>
      <c r="O93" s="196"/>
    </row>
    <row r="94" spans="1:15" s="91" customFormat="1" ht="19.5" customHeight="1">
      <c r="A94" s="202"/>
      <c r="B94" s="612" t="s">
        <v>567</v>
      </c>
      <c r="C94" s="630" t="s">
        <v>270</v>
      </c>
      <c r="D94" s="203">
        <v>508262</v>
      </c>
      <c r="E94" s="461">
        <v>508262</v>
      </c>
      <c r="F94" s="469">
        <f t="shared" si="19"/>
        <v>40000</v>
      </c>
      <c r="G94" s="248">
        <v>0</v>
      </c>
      <c r="H94" s="203">
        <f aca="true" t="shared" si="31" ref="H94:H99">SUM(I94:M94)</f>
        <v>0</v>
      </c>
      <c r="I94" s="203"/>
      <c r="J94" s="203"/>
      <c r="K94" s="203"/>
      <c r="L94" s="203"/>
      <c r="M94" s="203"/>
      <c r="N94" s="203">
        <v>40000</v>
      </c>
      <c r="O94" s="196"/>
    </row>
    <row r="95" spans="1:15" s="91" customFormat="1" ht="19.5" customHeight="1">
      <c r="A95" s="202"/>
      <c r="B95" s="612" t="s">
        <v>362</v>
      </c>
      <c r="C95" s="630" t="s">
        <v>363</v>
      </c>
      <c r="D95" s="203">
        <f>111576</f>
        <v>111576</v>
      </c>
      <c r="E95" s="461">
        <v>110076</v>
      </c>
      <c r="F95" s="470">
        <f t="shared" si="19"/>
        <v>21250</v>
      </c>
      <c r="G95" s="248">
        <v>0</v>
      </c>
      <c r="H95" s="203">
        <f t="shared" si="31"/>
        <v>250</v>
      </c>
      <c r="I95" s="203"/>
      <c r="J95" s="203"/>
      <c r="K95" s="203"/>
      <c r="L95" s="203"/>
      <c r="M95" s="203">
        <v>250</v>
      </c>
      <c r="N95" s="203">
        <f>5000+16000</f>
        <v>21000</v>
      </c>
      <c r="O95" s="196"/>
    </row>
    <row r="96" spans="1:15" s="91" customFormat="1" ht="20.25" customHeight="1">
      <c r="A96" s="89"/>
      <c r="B96" s="614" t="s">
        <v>364</v>
      </c>
      <c r="C96" s="616" t="s">
        <v>361</v>
      </c>
      <c r="D96" s="90">
        <f>21862</f>
        <v>21862</v>
      </c>
      <c r="E96" s="462">
        <f>21300</f>
        <v>21300</v>
      </c>
      <c r="F96" s="470">
        <f t="shared" si="19"/>
        <v>801300</v>
      </c>
      <c r="G96" s="467">
        <f t="shared" si="7"/>
        <v>36.65263928277376</v>
      </c>
      <c r="H96" s="203">
        <f t="shared" si="31"/>
        <v>1300</v>
      </c>
      <c r="I96" s="90"/>
      <c r="J96" s="90"/>
      <c r="K96" s="90"/>
      <c r="L96" s="90"/>
      <c r="M96" s="90">
        <v>1300</v>
      </c>
      <c r="N96" s="90">
        <f>480000+320000</f>
        <v>800000</v>
      </c>
      <c r="O96" s="196"/>
    </row>
    <row r="97" spans="1:15" s="91" customFormat="1" ht="30">
      <c r="A97" s="89"/>
      <c r="B97" s="614" t="s">
        <v>568</v>
      </c>
      <c r="C97" s="616" t="s">
        <v>38</v>
      </c>
      <c r="D97" s="90">
        <v>8965</v>
      </c>
      <c r="E97" s="462">
        <v>3965</v>
      </c>
      <c r="F97" s="470">
        <f t="shared" si="19"/>
        <v>31000</v>
      </c>
      <c r="G97" s="467">
        <f>F97/D97</f>
        <v>3.4578918014500837</v>
      </c>
      <c r="H97" s="203">
        <f t="shared" si="31"/>
        <v>31000</v>
      </c>
      <c r="I97" s="90"/>
      <c r="J97" s="90"/>
      <c r="K97" s="90"/>
      <c r="L97" s="90"/>
      <c r="M97" s="90">
        <f>5000+25000+1000</f>
        <v>31000</v>
      </c>
      <c r="N97" s="90"/>
      <c r="O97" s="196"/>
    </row>
    <row r="98" spans="1:15" s="91" customFormat="1" ht="19.5" customHeight="1">
      <c r="A98" s="89"/>
      <c r="B98" s="614" t="s">
        <v>377</v>
      </c>
      <c r="C98" s="616" t="s">
        <v>378</v>
      </c>
      <c r="D98" s="90">
        <v>208000</v>
      </c>
      <c r="E98" s="462">
        <v>208000</v>
      </c>
      <c r="F98" s="470">
        <f t="shared" si="19"/>
        <v>208000</v>
      </c>
      <c r="G98" s="467">
        <f t="shared" si="7"/>
        <v>1</v>
      </c>
      <c r="H98" s="203">
        <f t="shared" si="31"/>
        <v>208000</v>
      </c>
      <c r="I98" s="90"/>
      <c r="J98" s="90"/>
      <c r="K98" s="90"/>
      <c r="L98" s="90"/>
      <c r="M98" s="90">
        <v>208000</v>
      </c>
      <c r="N98" s="90"/>
      <c r="O98" s="196"/>
    </row>
    <row r="99" spans="1:15" s="91" customFormat="1" ht="19.5" customHeight="1">
      <c r="A99" s="449"/>
      <c r="B99" s="632" t="s">
        <v>365</v>
      </c>
      <c r="C99" s="633" t="s">
        <v>366</v>
      </c>
      <c r="D99" s="450">
        <v>3523</v>
      </c>
      <c r="E99" s="465">
        <v>1489</v>
      </c>
      <c r="F99" s="634">
        <f t="shared" si="19"/>
        <v>3686</v>
      </c>
      <c r="G99" s="250">
        <f aca="true" t="shared" si="32" ref="G99:G109">F99/D99</f>
        <v>1.0462673857507805</v>
      </c>
      <c r="H99" s="450">
        <f t="shared" si="31"/>
        <v>3686</v>
      </c>
      <c r="I99" s="450"/>
      <c r="J99" s="450"/>
      <c r="K99" s="450"/>
      <c r="L99" s="450"/>
      <c r="M99" s="450">
        <f>3600+86</f>
        <v>3686</v>
      </c>
      <c r="N99" s="450"/>
      <c r="O99" s="196"/>
    </row>
    <row r="100" spans="1:15" s="87" customFormat="1" ht="42" customHeight="1">
      <c r="A100" s="135"/>
      <c r="B100" s="135"/>
      <c r="C100" s="136"/>
      <c r="D100" s="137"/>
      <c r="E100" s="137"/>
      <c r="F100" s="137"/>
      <c r="G100" s="138"/>
      <c r="H100" s="137"/>
      <c r="I100" s="137"/>
      <c r="J100" s="137"/>
      <c r="K100" s="137"/>
      <c r="L100" s="137"/>
      <c r="M100" s="137"/>
      <c r="N100" s="137"/>
      <c r="O100" s="196"/>
    </row>
    <row r="101" spans="1:14" s="43" customFormat="1" ht="6" customHeight="1" thickBot="1">
      <c r="A101" s="209">
        <v>1</v>
      </c>
      <c r="B101" s="209">
        <v>2</v>
      </c>
      <c r="C101" s="209">
        <v>3</v>
      </c>
      <c r="D101" s="209">
        <v>4</v>
      </c>
      <c r="E101" s="209">
        <v>5</v>
      </c>
      <c r="F101" s="209">
        <v>4</v>
      </c>
      <c r="G101" s="209">
        <v>7</v>
      </c>
      <c r="H101" s="209">
        <v>5</v>
      </c>
      <c r="I101" s="209">
        <v>6</v>
      </c>
      <c r="J101" s="209">
        <v>7</v>
      </c>
      <c r="K101" s="209">
        <v>8</v>
      </c>
      <c r="L101" s="209">
        <v>9</v>
      </c>
      <c r="M101" s="209">
        <v>10</v>
      </c>
      <c r="N101" s="209">
        <v>11</v>
      </c>
    </row>
    <row r="102" spans="1:15" s="631" customFormat="1" ht="32.25" thickBot="1">
      <c r="A102" s="619" t="s">
        <v>367</v>
      </c>
      <c r="B102" s="620"/>
      <c r="C102" s="626" t="s">
        <v>271</v>
      </c>
      <c r="D102" s="624">
        <f>SUM(D103:D105)</f>
        <v>350050</v>
      </c>
      <c r="E102" s="627">
        <f>SUM(E103:E105)</f>
        <v>350001</v>
      </c>
      <c r="F102" s="622">
        <f>SUM(F103:F105)</f>
        <v>991800</v>
      </c>
      <c r="G102" s="623">
        <f t="shared" si="32"/>
        <v>2.8333095272103983</v>
      </c>
      <c r="H102" s="624">
        <f aca="true" t="shared" si="33" ref="H102:N102">SUM(H103:H105)</f>
        <v>319000</v>
      </c>
      <c r="I102" s="624">
        <f t="shared" si="33"/>
        <v>0</v>
      </c>
      <c r="J102" s="624">
        <f t="shared" si="33"/>
        <v>319000</v>
      </c>
      <c r="K102" s="624">
        <f t="shared" si="33"/>
        <v>0</v>
      </c>
      <c r="L102" s="624">
        <f>SUM(L103:L105)</f>
        <v>0</v>
      </c>
      <c r="M102" s="624">
        <f t="shared" si="33"/>
        <v>0</v>
      </c>
      <c r="N102" s="625">
        <f t="shared" si="33"/>
        <v>672800</v>
      </c>
      <c r="O102" s="196"/>
    </row>
    <row r="103" spans="1:15" s="91" customFormat="1" ht="19.5" customHeight="1">
      <c r="A103" s="202"/>
      <c r="B103" s="612" t="s">
        <v>368</v>
      </c>
      <c r="C103" s="630" t="s">
        <v>272</v>
      </c>
      <c r="D103" s="203">
        <v>144550</v>
      </c>
      <c r="E103" s="461">
        <v>144501</v>
      </c>
      <c r="F103" s="469">
        <f t="shared" si="19"/>
        <v>294800</v>
      </c>
      <c r="G103" s="248">
        <f t="shared" si="32"/>
        <v>2.039432722241439</v>
      </c>
      <c r="H103" s="203">
        <f>SUM(I103:M103)</f>
        <v>122000</v>
      </c>
      <c r="I103" s="203"/>
      <c r="J103" s="203">
        <f>110000+12000</f>
        <v>122000</v>
      </c>
      <c r="K103" s="203"/>
      <c r="L103" s="203"/>
      <c r="M103" s="203"/>
      <c r="N103" s="203">
        <f>100000+5800+67000</f>
        <v>172800</v>
      </c>
      <c r="O103" s="196"/>
    </row>
    <row r="104" spans="1:15" s="91" customFormat="1" ht="19.5" customHeight="1">
      <c r="A104" s="89"/>
      <c r="B104" s="614" t="s">
        <v>369</v>
      </c>
      <c r="C104" s="616" t="s">
        <v>276</v>
      </c>
      <c r="D104" s="90">
        <v>195500</v>
      </c>
      <c r="E104" s="462">
        <v>195500</v>
      </c>
      <c r="F104" s="470">
        <f t="shared" si="19"/>
        <v>677000</v>
      </c>
      <c r="G104" s="467">
        <f t="shared" si="32"/>
        <v>3.4629156010230178</v>
      </c>
      <c r="H104" s="203">
        <f>SUM(I104:M104)</f>
        <v>177000</v>
      </c>
      <c r="I104" s="90"/>
      <c r="J104" s="90">
        <v>177000</v>
      </c>
      <c r="K104" s="90"/>
      <c r="L104" s="90"/>
      <c r="M104" s="90"/>
      <c r="N104" s="90">
        <f>400000+100000</f>
        <v>500000</v>
      </c>
      <c r="O104" s="196"/>
    </row>
    <row r="105" spans="1:15" s="91" customFormat="1" ht="19.5" customHeight="1" thickBot="1">
      <c r="A105" s="204"/>
      <c r="B105" s="617" t="s">
        <v>370</v>
      </c>
      <c r="C105" s="618" t="s">
        <v>371</v>
      </c>
      <c r="D105" s="206">
        <v>10000</v>
      </c>
      <c r="E105" s="463">
        <v>10000</v>
      </c>
      <c r="F105" s="471">
        <f t="shared" si="19"/>
        <v>20000</v>
      </c>
      <c r="G105" s="282">
        <f t="shared" si="32"/>
        <v>2</v>
      </c>
      <c r="H105" s="208">
        <f>SUM(I105:M105)</f>
        <v>20000</v>
      </c>
      <c r="I105" s="206"/>
      <c r="J105" s="206">
        <v>20000</v>
      </c>
      <c r="K105" s="206"/>
      <c r="L105" s="206"/>
      <c r="M105" s="206"/>
      <c r="N105" s="206"/>
      <c r="O105" s="196"/>
    </row>
    <row r="106" spans="1:15" s="631" customFormat="1" ht="30.75" customHeight="1" thickBot="1">
      <c r="A106" s="619" t="s">
        <v>372</v>
      </c>
      <c r="B106" s="620"/>
      <c r="C106" s="626" t="s">
        <v>373</v>
      </c>
      <c r="D106" s="624">
        <f>SUM(D107:D108)</f>
        <v>103700</v>
      </c>
      <c r="E106" s="627">
        <f>SUM(E107:E108)</f>
        <v>103684</v>
      </c>
      <c r="F106" s="622">
        <f>SUM(F107:F108)</f>
        <v>1151800</v>
      </c>
      <c r="G106" s="623">
        <f t="shared" si="32"/>
        <v>11.107039537126326</v>
      </c>
      <c r="H106" s="624">
        <f aca="true" t="shared" si="34" ref="H106:N106">SUM(H107:H108)</f>
        <v>97800</v>
      </c>
      <c r="I106" s="624">
        <f t="shared" si="34"/>
        <v>0</v>
      </c>
      <c r="J106" s="624">
        <f t="shared" si="34"/>
        <v>92800</v>
      </c>
      <c r="K106" s="624">
        <f t="shared" si="34"/>
        <v>0</v>
      </c>
      <c r="L106" s="624">
        <f t="shared" si="34"/>
        <v>0</v>
      </c>
      <c r="M106" s="624">
        <f t="shared" si="34"/>
        <v>5000</v>
      </c>
      <c r="N106" s="625">
        <f t="shared" si="34"/>
        <v>1054000</v>
      </c>
      <c r="O106" s="196"/>
    </row>
    <row r="107" spans="1:15" s="91" customFormat="1" ht="21.75" customHeight="1">
      <c r="A107" s="202"/>
      <c r="B107" s="612" t="s">
        <v>569</v>
      </c>
      <c r="C107" s="630" t="s">
        <v>535</v>
      </c>
      <c r="D107" s="203">
        <v>15900</v>
      </c>
      <c r="E107" s="461">
        <v>15884</v>
      </c>
      <c r="F107" s="469">
        <f>H107+N107</f>
        <v>1059000</v>
      </c>
      <c r="G107" s="248">
        <f>F107/D107</f>
        <v>66.60377358490567</v>
      </c>
      <c r="H107" s="203">
        <f>SUM(I107:M107)</f>
        <v>5000</v>
      </c>
      <c r="I107" s="203"/>
      <c r="J107" s="203"/>
      <c r="K107" s="203"/>
      <c r="L107" s="203"/>
      <c r="M107" s="203">
        <v>5000</v>
      </c>
      <c r="N107" s="203">
        <f>1015000+30000+9000</f>
        <v>1054000</v>
      </c>
      <c r="O107" s="196"/>
    </row>
    <row r="108" spans="1:15" s="91" customFormat="1" ht="21.75" customHeight="1">
      <c r="A108" s="210"/>
      <c r="B108" s="635" t="s">
        <v>374</v>
      </c>
      <c r="C108" s="636" t="s">
        <v>375</v>
      </c>
      <c r="D108" s="211">
        <v>87800</v>
      </c>
      <c r="E108" s="493">
        <f>D108</f>
        <v>87800</v>
      </c>
      <c r="F108" s="469">
        <f t="shared" si="19"/>
        <v>92800</v>
      </c>
      <c r="G108" s="249">
        <f t="shared" si="32"/>
        <v>1.0569476082004556</v>
      </c>
      <c r="H108" s="203">
        <f>SUM(I108:M108)</f>
        <v>92800</v>
      </c>
      <c r="I108" s="211"/>
      <c r="J108" s="211">
        <f>87800+5000</f>
        <v>92800</v>
      </c>
      <c r="K108" s="211"/>
      <c r="L108" s="211"/>
      <c r="M108" s="211"/>
      <c r="N108" s="211"/>
      <c r="O108" s="196"/>
    </row>
    <row r="109" spans="1:15" s="101" customFormat="1" ht="24.75" customHeight="1" thickBot="1">
      <c r="A109" s="892" t="s">
        <v>124</v>
      </c>
      <c r="B109" s="893"/>
      <c r="C109" s="894"/>
      <c r="D109" s="102">
        <f>D106+D102+D93+D89+D79+D73+D55+D51+D47+D45+D40+D38+D34+D27+D22+D19+D16+D14+D7</f>
        <v>14882990</v>
      </c>
      <c r="E109" s="494">
        <f>E106+E102+E93+E89+E79+E73+E55+E51+E47+E45+E40+E38+E34+E27+E22+E19+E16+E14+E7</f>
        <v>14699412</v>
      </c>
      <c r="F109" s="495">
        <f>F106+F102+F93+F89+F79+F73+F55+F51+F47+F45+F40+F38+F34+F27+F22+F19+F16+F14+F7</f>
        <v>25612560</v>
      </c>
      <c r="G109" s="247">
        <f t="shared" si="32"/>
        <v>1.7209283887175897</v>
      </c>
      <c r="H109" s="102">
        <f aca="true" t="shared" si="35" ref="H109:N109">H106+H102+H93+H89+H79+H73+H55+H51+H47+H45+H40+H38+H34+H27+H22+H19+H16+H14+H7</f>
        <v>11500360</v>
      </c>
      <c r="I109" s="102">
        <f t="shared" si="35"/>
        <v>4656232</v>
      </c>
      <c r="J109" s="102">
        <f t="shared" si="35"/>
        <v>805300</v>
      </c>
      <c r="K109" s="102">
        <f t="shared" si="35"/>
        <v>185000</v>
      </c>
      <c r="L109" s="102">
        <f t="shared" si="35"/>
        <v>0</v>
      </c>
      <c r="M109" s="102">
        <f t="shared" si="35"/>
        <v>5853828</v>
      </c>
      <c r="N109" s="102">
        <f t="shared" si="35"/>
        <v>14112200</v>
      </c>
      <c r="O109" s="196"/>
    </row>
    <row r="110" ht="12.75">
      <c r="O110" s="100"/>
    </row>
    <row r="111" spans="1:14" ht="12.75">
      <c r="A111" s="57"/>
      <c r="C111" s="43" t="s">
        <v>461</v>
      </c>
      <c r="H111" s="83"/>
      <c r="J111" s="83"/>
      <c r="N111" s="83"/>
    </row>
    <row r="113" spans="6:8" ht="12.75">
      <c r="F113" s="83"/>
      <c r="H113" s="83"/>
    </row>
    <row r="114" ht="12.75">
      <c r="F114" s="83"/>
    </row>
    <row r="115" ht="12.75">
      <c r="J115" s="83"/>
    </row>
  </sheetData>
  <mergeCells count="13">
    <mergeCell ref="G3:G5"/>
    <mergeCell ref="N4:N5"/>
    <mergeCell ref="A109:C109"/>
    <mergeCell ref="A1:N1"/>
    <mergeCell ref="F3:F5"/>
    <mergeCell ref="A3:A5"/>
    <mergeCell ref="C3:C5"/>
    <mergeCell ref="B3:B5"/>
    <mergeCell ref="H3:N3"/>
    <mergeCell ref="I4:M4"/>
    <mergeCell ref="H4:H5"/>
    <mergeCell ref="D3:D5"/>
    <mergeCell ref="E3:E5"/>
  </mergeCells>
  <printOptions horizontalCentered="1"/>
  <pageMargins left="0.1968503937007874" right="0.1968503937007874" top="0.86" bottom="0.5905511811023623" header="0.31496062992125984" footer="0.31496062992125984"/>
  <pageSetup horizontalDpi="600" verticalDpi="600" orientation="landscape" paperSize="9" scale="85" r:id="rId1"/>
  <headerFooter alignWithMargins="0">
    <oddHeader>&amp;R&amp;"Arial CE,Pogrubiony"Załącznik nr &amp;A&amp;"Arial CE,Standardowy"
&amp;9do Uchwały Rady Gminy w Miłkowicach Nr XXI/102/2008
z dnia 12 lutego 2008 roku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/>
  <dimension ref="A1:N107"/>
  <sheetViews>
    <sheetView zoomScale="83" zoomScaleNormal="83" workbookViewId="0" topLeftCell="A11">
      <selection activeCell="E10" sqref="E10"/>
    </sheetView>
  </sheetViews>
  <sheetFormatPr defaultColWidth="9.00390625" defaultRowHeight="18.75" customHeight="1"/>
  <cols>
    <col min="1" max="1" width="4.25390625" style="592" customWidth="1"/>
    <col min="2" max="2" width="49.375" style="592" customWidth="1"/>
    <col min="3" max="3" width="11.00390625" style="592" customWidth="1"/>
    <col min="4" max="4" width="12.625" style="593" customWidth="1"/>
    <col min="5" max="5" width="14.25390625" style="592" bestFit="1" customWidth="1"/>
    <col min="6" max="6" width="14.25390625" style="592" customWidth="1"/>
    <col min="7" max="7" width="11.625" style="592" customWidth="1"/>
    <col min="8" max="8" width="13.875" style="592" customWidth="1"/>
    <col min="9" max="9" width="12.625" style="592" customWidth="1"/>
    <col min="10" max="10" width="0.74609375" style="592" hidden="1" customWidth="1"/>
    <col min="11" max="11" width="13.375" style="592" customWidth="1"/>
    <col min="12" max="12" width="13.75390625" style="592" customWidth="1"/>
    <col min="13" max="13" width="4.125" style="592" customWidth="1"/>
    <col min="14" max="16384" width="6.75390625" style="592" customWidth="1"/>
  </cols>
  <sheetData>
    <row r="1" spans="1:13" s="499" customFormat="1" ht="21" customHeight="1">
      <c r="A1" s="924" t="s">
        <v>595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498"/>
    </row>
    <row r="2" spans="2:13" s="500" customFormat="1" ht="12" customHeight="1" thickBot="1">
      <c r="B2" s="501"/>
      <c r="D2" s="501"/>
      <c r="L2" s="502" t="s">
        <v>95</v>
      </c>
      <c r="M2" s="503"/>
    </row>
    <row r="3" spans="1:13" s="505" customFormat="1" ht="14.25" customHeight="1">
      <c r="A3" s="935" t="s">
        <v>110</v>
      </c>
      <c r="B3" s="899" t="s">
        <v>146</v>
      </c>
      <c r="C3" s="899" t="s">
        <v>431</v>
      </c>
      <c r="D3" s="914" t="s">
        <v>460</v>
      </c>
      <c r="E3" s="899" t="s">
        <v>731</v>
      </c>
      <c r="F3" s="901" t="s">
        <v>432</v>
      </c>
      <c r="G3" s="902"/>
      <c r="H3" s="902"/>
      <c r="I3" s="903"/>
      <c r="J3" s="504"/>
      <c r="K3" s="504"/>
      <c r="L3" s="904" t="s">
        <v>698</v>
      </c>
      <c r="M3" s="503"/>
    </row>
    <row r="4" spans="1:13" s="505" customFormat="1" ht="14.25" customHeight="1">
      <c r="A4" s="936"/>
      <c r="B4" s="900"/>
      <c r="C4" s="900"/>
      <c r="D4" s="915"/>
      <c r="E4" s="900"/>
      <c r="F4" s="907" t="s">
        <v>445</v>
      </c>
      <c r="G4" s="907" t="s">
        <v>433</v>
      </c>
      <c r="H4" s="907"/>
      <c r="I4" s="907"/>
      <c r="J4" s="506"/>
      <c r="K4" s="506"/>
      <c r="L4" s="905"/>
      <c r="M4" s="503"/>
    </row>
    <row r="5" spans="1:13" s="505" customFormat="1" ht="14.25" customHeight="1">
      <c r="A5" s="936"/>
      <c r="B5" s="900"/>
      <c r="C5" s="900"/>
      <c r="D5" s="915"/>
      <c r="E5" s="900"/>
      <c r="F5" s="908"/>
      <c r="G5" s="916" t="s">
        <v>145</v>
      </c>
      <c r="H5" s="916" t="s">
        <v>135</v>
      </c>
      <c r="I5" s="916" t="s">
        <v>446</v>
      </c>
      <c r="J5" s="496" t="s">
        <v>497</v>
      </c>
      <c r="K5" s="916" t="s">
        <v>550</v>
      </c>
      <c r="L5" s="905"/>
      <c r="M5" s="503"/>
    </row>
    <row r="6" spans="1:13" s="505" customFormat="1" ht="14.25" customHeight="1">
      <c r="A6" s="936"/>
      <c r="B6" s="900"/>
      <c r="C6" s="900"/>
      <c r="D6" s="915"/>
      <c r="E6" s="900"/>
      <c r="F6" s="908"/>
      <c r="G6" s="917"/>
      <c r="H6" s="917"/>
      <c r="I6" s="917"/>
      <c r="J6" s="497"/>
      <c r="K6" s="917"/>
      <c r="L6" s="905"/>
      <c r="M6" s="503"/>
    </row>
    <row r="7" spans="1:13" s="505" customFormat="1" ht="15" customHeight="1">
      <c r="A7" s="936"/>
      <c r="B7" s="900"/>
      <c r="C7" s="900"/>
      <c r="D7" s="915"/>
      <c r="E7" s="900"/>
      <c r="F7" s="908"/>
      <c r="G7" s="917"/>
      <c r="H7" s="917"/>
      <c r="I7" s="917"/>
      <c r="J7" s="497"/>
      <c r="K7" s="918"/>
      <c r="L7" s="906"/>
      <c r="M7" s="503"/>
    </row>
    <row r="8" spans="1:13" s="513" customFormat="1" ht="10.5" customHeight="1" thickBot="1">
      <c r="A8" s="507">
        <v>1</v>
      </c>
      <c r="B8" s="508">
        <v>2</v>
      </c>
      <c r="C8" s="508">
        <v>3</v>
      </c>
      <c r="D8" s="509">
        <v>4</v>
      </c>
      <c r="E8" s="508">
        <v>5</v>
      </c>
      <c r="F8" s="508">
        <v>6</v>
      </c>
      <c r="G8" s="510">
        <v>7</v>
      </c>
      <c r="H8" s="510">
        <v>8</v>
      </c>
      <c r="I8" s="510">
        <v>9</v>
      </c>
      <c r="J8" s="510">
        <v>10</v>
      </c>
      <c r="K8" s="510">
        <v>10</v>
      </c>
      <c r="L8" s="511">
        <v>11</v>
      </c>
      <c r="M8" s="512"/>
    </row>
    <row r="9" spans="1:13" s="516" customFormat="1" ht="18" customHeight="1" thickBot="1">
      <c r="A9" s="945" t="s">
        <v>434</v>
      </c>
      <c r="B9" s="946"/>
      <c r="C9" s="946"/>
      <c r="D9" s="530">
        <f aca="true" t="shared" si="0" ref="D9:J9">D10+D20</f>
        <v>13834100</v>
      </c>
      <c r="E9" s="530">
        <f t="shared" si="0"/>
        <v>6762400</v>
      </c>
      <c r="F9" s="530">
        <f t="shared" si="0"/>
        <v>4250000</v>
      </c>
      <c r="G9" s="530">
        <f t="shared" si="0"/>
        <v>539100</v>
      </c>
      <c r="H9" s="530">
        <f t="shared" si="0"/>
        <v>892500</v>
      </c>
      <c r="I9" s="530">
        <f t="shared" si="0"/>
        <v>1080800</v>
      </c>
      <c r="J9" s="530">
        <f t="shared" si="0"/>
        <v>0</v>
      </c>
      <c r="K9" s="588"/>
      <c r="L9" s="655"/>
      <c r="M9" s="515"/>
    </row>
    <row r="10" spans="1:13" s="516" customFormat="1" ht="17.25" customHeight="1" thickBot="1">
      <c r="A10" s="912" t="s">
        <v>435</v>
      </c>
      <c r="B10" s="913"/>
      <c r="C10" s="913"/>
      <c r="D10" s="656">
        <f aca="true" t="shared" si="1" ref="D10:I10">SUM(D11:D19)</f>
        <v>11924100</v>
      </c>
      <c r="E10" s="656">
        <f t="shared" si="1"/>
        <v>5977800</v>
      </c>
      <c r="F10" s="656">
        <f t="shared" si="1"/>
        <v>4250000</v>
      </c>
      <c r="G10" s="656">
        <f t="shared" si="1"/>
        <v>480800</v>
      </c>
      <c r="H10" s="656">
        <f t="shared" si="1"/>
        <v>892500</v>
      </c>
      <c r="I10" s="656">
        <f t="shared" si="1"/>
        <v>354500</v>
      </c>
      <c r="J10" s="656">
        <f>SUM(J11:J16)</f>
        <v>0</v>
      </c>
      <c r="K10" s="657"/>
      <c r="L10" s="653"/>
      <c r="M10" s="515"/>
    </row>
    <row r="11" spans="1:13" s="516" customFormat="1" ht="30" customHeight="1" thickTop="1">
      <c r="A11" s="533" t="s">
        <v>67</v>
      </c>
      <c r="B11" s="654" t="s">
        <v>499</v>
      </c>
      <c r="C11" s="535" t="s">
        <v>448</v>
      </c>
      <c r="D11" s="536">
        <v>5040000</v>
      </c>
      <c r="E11" s="536">
        <f aca="true" t="shared" si="2" ref="E11:E19">SUM(F11,G11,H11,I11,K11)</f>
        <v>5026300</v>
      </c>
      <c r="F11" s="536">
        <v>4250000</v>
      </c>
      <c r="G11" s="536">
        <f>225000+26300</f>
        <v>251300</v>
      </c>
      <c r="H11" s="536">
        <v>275000</v>
      </c>
      <c r="I11" s="536">
        <v>250000</v>
      </c>
      <c r="J11" s="536"/>
      <c r="K11" s="538" t="s">
        <v>583</v>
      </c>
      <c r="L11" s="953" t="s">
        <v>500</v>
      </c>
      <c r="M11" s="515"/>
    </row>
    <row r="12" spans="1:13" s="516" customFormat="1" ht="25.5">
      <c r="A12" s="518" t="s">
        <v>68</v>
      </c>
      <c r="B12" s="519" t="s">
        <v>501</v>
      </c>
      <c r="C12" s="520" t="s">
        <v>506</v>
      </c>
      <c r="D12" s="521">
        <v>5107000</v>
      </c>
      <c r="E12" s="521">
        <f t="shared" si="2"/>
        <v>105200</v>
      </c>
      <c r="F12" s="521"/>
      <c r="G12" s="521">
        <v>105200</v>
      </c>
      <c r="H12" s="521"/>
      <c r="I12" s="521"/>
      <c r="J12" s="521"/>
      <c r="K12" s="521"/>
      <c r="L12" s="954"/>
      <c r="M12" s="515"/>
    </row>
    <row r="13" spans="1:13" s="516" customFormat="1" ht="27.75" customHeight="1">
      <c r="A13" s="518" t="s">
        <v>69</v>
      </c>
      <c r="B13" s="524" t="s">
        <v>586</v>
      </c>
      <c r="C13" s="520" t="s">
        <v>448</v>
      </c>
      <c r="D13" s="525">
        <v>222000</v>
      </c>
      <c r="E13" s="521">
        <f t="shared" si="2"/>
        <v>218300</v>
      </c>
      <c r="F13" s="521"/>
      <c r="G13" s="525">
        <v>18300</v>
      </c>
      <c r="H13" s="525">
        <v>150000</v>
      </c>
      <c r="I13" s="521">
        <v>50000</v>
      </c>
      <c r="J13" s="521"/>
      <c r="K13" s="522" t="s">
        <v>583</v>
      </c>
      <c r="L13" s="954"/>
      <c r="M13" s="515"/>
    </row>
    <row r="14" spans="1:13" s="516" customFormat="1" ht="20.25" customHeight="1">
      <c r="A14" s="518" t="s">
        <v>56</v>
      </c>
      <c r="B14" s="519" t="s">
        <v>558</v>
      </c>
      <c r="C14" s="520" t="s">
        <v>448</v>
      </c>
      <c r="D14" s="525">
        <v>14000</v>
      </c>
      <c r="E14" s="521">
        <f t="shared" si="2"/>
        <v>10000</v>
      </c>
      <c r="F14" s="521"/>
      <c r="G14" s="525">
        <v>10000</v>
      </c>
      <c r="H14" s="526" t="s">
        <v>660</v>
      </c>
      <c r="I14" s="521"/>
      <c r="J14" s="521"/>
      <c r="K14" s="521"/>
      <c r="L14" s="954"/>
      <c r="M14" s="515"/>
    </row>
    <row r="15" spans="1:13" s="516" customFormat="1" ht="24.75" customHeight="1">
      <c r="A15" s="518" t="s">
        <v>73</v>
      </c>
      <c r="B15" s="519" t="s">
        <v>587</v>
      </c>
      <c r="C15" s="520" t="s">
        <v>506</v>
      </c>
      <c r="D15" s="525">
        <v>526000</v>
      </c>
      <c r="E15" s="521">
        <f t="shared" si="2"/>
        <v>362000</v>
      </c>
      <c r="F15" s="521"/>
      <c r="G15" s="525">
        <v>22000</v>
      </c>
      <c r="H15" s="525">
        <f>340000</f>
        <v>340000</v>
      </c>
      <c r="I15" s="521"/>
      <c r="J15" s="521"/>
      <c r="K15" s="522" t="s">
        <v>551</v>
      </c>
      <c r="L15" s="954"/>
      <c r="M15" s="515"/>
    </row>
    <row r="16" spans="1:13" s="516" customFormat="1" ht="38.25">
      <c r="A16" s="518" t="s">
        <v>76</v>
      </c>
      <c r="B16" s="519" t="s">
        <v>502</v>
      </c>
      <c r="C16" s="520" t="s">
        <v>448</v>
      </c>
      <c r="D16" s="525">
        <v>936600</v>
      </c>
      <c r="E16" s="521">
        <f t="shared" si="2"/>
        <v>177500</v>
      </c>
      <c r="F16" s="521"/>
      <c r="G16" s="521">
        <v>7500</v>
      </c>
      <c r="H16" s="521">
        <v>127500</v>
      </c>
      <c r="I16" s="521">
        <v>42500</v>
      </c>
      <c r="J16" s="521"/>
      <c r="K16" s="522" t="s">
        <v>583</v>
      </c>
      <c r="L16" s="955"/>
      <c r="M16" s="515"/>
    </row>
    <row r="17" spans="1:13" s="516" customFormat="1" ht="22.5" customHeight="1">
      <c r="A17" s="518" t="s">
        <v>78</v>
      </c>
      <c r="B17" s="519" t="s">
        <v>661</v>
      </c>
      <c r="C17" s="520">
        <v>2008</v>
      </c>
      <c r="D17" s="525">
        <f>E17</f>
        <v>30000</v>
      </c>
      <c r="E17" s="521">
        <f t="shared" si="2"/>
        <v>30000</v>
      </c>
      <c r="F17" s="521"/>
      <c r="G17" s="525">
        <v>30000</v>
      </c>
      <c r="H17" s="525"/>
      <c r="I17" s="521"/>
      <c r="J17" s="521"/>
      <c r="K17" s="521"/>
      <c r="L17" s="523"/>
      <c r="M17" s="515"/>
    </row>
    <row r="18" spans="1:13" s="516" customFormat="1" ht="18.75" customHeight="1">
      <c r="A18" s="645" t="s">
        <v>84</v>
      </c>
      <c r="B18" s="646" t="s">
        <v>616</v>
      </c>
      <c r="C18" s="647">
        <v>2008</v>
      </c>
      <c r="D18" s="648">
        <f>E18</f>
        <v>6500</v>
      </c>
      <c r="E18" s="649">
        <f>SUM(F18,G18,H18,I18,K18)</f>
        <v>6500</v>
      </c>
      <c r="F18" s="649"/>
      <c r="G18" s="648">
        <v>6500</v>
      </c>
      <c r="H18" s="648"/>
      <c r="I18" s="649"/>
      <c r="J18" s="649"/>
      <c r="K18" s="649"/>
      <c r="L18" s="523"/>
      <c r="M18" s="515"/>
    </row>
    <row r="19" spans="1:13" s="516" customFormat="1" ht="18.75" customHeight="1" thickBot="1">
      <c r="A19" s="645" t="s">
        <v>84</v>
      </c>
      <c r="B19" s="646" t="s">
        <v>662</v>
      </c>
      <c r="C19" s="647">
        <v>2008</v>
      </c>
      <c r="D19" s="648">
        <f>E19</f>
        <v>42000</v>
      </c>
      <c r="E19" s="649">
        <f t="shared" si="2"/>
        <v>42000</v>
      </c>
      <c r="F19" s="649"/>
      <c r="G19" s="648">
        <v>30000</v>
      </c>
      <c r="H19" s="648"/>
      <c r="I19" s="649">
        <v>12000</v>
      </c>
      <c r="J19" s="649"/>
      <c r="K19" s="649"/>
      <c r="L19" s="523"/>
      <c r="M19" s="515"/>
    </row>
    <row r="20" spans="1:13" s="516" customFormat="1" ht="18.75" customHeight="1" thickBot="1" thickTop="1">
      <c r="A20" s="947" t="s">
        <v>504</v>
      </c>
      <c r="B20" s="948"/>
      <c r="C20" s="949"/>
      <c r="D20" s="651">
        <f aca="true" t="shared" si="3" ref="D20:I20">D22+D21</f>
        <v>1910000</v>
      </c>
      <c r="E20" s="651">
        <f t="shared" si="3"/>
        <v>784600</v>
      </c>
      <c r="F20" s="651">
        <f t="shared" si="3"/>
        <v>0</v>
      </c>
      <c r="G20" s="651">
        <f t="shared" si="3"/>
        <v>58300</v>
      </c>
      <c r="H20" s="651">
        <f t="shared" si="3"/>
        <v>0</v>
      </c>
      <c r="I20" s="651">
        <f t="shared" si="3"/>
        <v>726300</v>
      </c>
      <c r="J20" s="651"/>
      <c r="K20" s="659"/>
      <c r="L20" s="956" t="s">
        <v>449</v>
      </c>
      <c r="M20" s="515"/>
    </row>
    <row r="21" spans="1:13" s="516" customFormat="1" ht="21" customHeight="1" thickTop="1">
      <c r="A21" s="533" t="s">
        <v>444</v>
      </c>
      <c r="B21" s="528" t="s">
        <v>706</v>
      </c>
      <c r="C21" s="650" t="s">
        <v>448</v>
      </c>
      <c r="D21" s="536">
        <f>E21+725400</f>
        <v>1060000</v>
      </c>
      <c r="E21" s="536">
        <f>SUM(F21,G21,H21,I21,K21)</f>
        <v>334600</v>
      </c>
      <c r="F21" s="527"/>
      <c r="G21" s="537">
        <v>8300</v>
      </c>
      <c r="H21" s="536"/>
      <c r="I21" s="536">
        <f>326300</f>
        <v>326300</v>
      </c>
      <c r="J21" s="536"/>
      <c r="K21" s="660"/>
      <c r="L21" s="957"/>
      <c r="M21" s="515"/>
    </row>
    <row r="22" spans="1:13" s="516" customFormat="1" ht="21" customHeight="1" thickBot="1">
      <c r="A22" s="533" t="s">
        <v>454</v>
      </c>
      <c r="B22" s="540" t="s">
        <v>663</v>
      </c>
      <c r="C22" s="650" t="s">
        <v>582</v>
      </c>
      <c r="D22" s="536">
        <f>E22+400000</f>
        <v>850000</v>
      </c>
      <c r="E22" s="536">
        <f>SUM(F22,G22,H22,I22,K22)</f>
        <v>450000</v>
      </c>
      <c r="F22" s="527"/>
      <c r="G22" s="537">
        <v>50000</v>
      </c>
      <c r="H22" s="536"/>
      <c r="I22" s="536">
        <v>400000</v>
      </c>
      <c r="J22" s="536"/>
      <c r="K22" s="660"/>
      <c r="L22" s="958"/>
      <c r="M22" s="515"/>
    </row>
    <row r="23" spans="1:13" s="516" customFormat="1" ht="18" customHeight="1" thickBot="1">
      <c r="A23" s="945" t="s">
        <v>436</v>
      </c>
      <c r="B23" s="946"/>
      <c r="C23" s="946"/>
      <c r="D23" s="530">
        <f aca="true" t="shared" si="4" ref="D23:J23">D24</f>
        <v>1581500</v>
      </c>
      <c r="E23" s="530">
        <f t="shared" si="4"/>
        <v>563000</v>
      </c>
      <c r="F23" s="530">
        <f t="shared" si="4"/>
        <v>0</v>
      </c>
      <c r="G23" s="530">
        <f t="shared" si="4"/>
        <v>338000</v>
      </c>
      <c r="H23" s="530">
        <f t="shared" si="4"/>
        <v>0</v>
      </c>
      <c r="I23" s="530">
        <f t="shared" si="4"/>
        <v>225000</v>
      </c>
      <c r="J23" s="530">
        <f t="shared" si="4"/>
        <v>0</v>
      </c>
      <c r="K23" s="551"/>
      <c r="L23" s="661"/>
      <c r="M23" s="515"/>
    </row>
    <row r="24" spans="1:13" s="516" customFormat="1" ht="20.25" customHeight="1" thickBot="1">
      <c r="A24" s="912" t="s">
        <v>450</v>
      </c>
      <c r="B24" s="913"/>
      <c r="C24" s="913"/>
      <c r="D24" s="656">
        <f aca="true" t="shared" si="5" ref="D24:J24">SUM(D25:D39)-D38</f>
        <v>1581500</v>
      </c>
      <c r="E24" s="656">
        <f t="shared" si="5"/>
        <v>563000</v>
      </c>
      <c r="F24" s="656">
        <f t="shared" si="5"/>
        <v>0</v>
      </c>
      <c r="G24" s="656">
        <f t="shared" si="5"/>
        <v>338000</v>
      </c>
      <c r="H24" s="656">
        <f t="shared" si="5"/>
        <v>0</v>
      </c>
      <c r="I24" s="656">
        <f t="shared" si="5"/>
        <v>225000</v>
      </c>
      <c r="J24" s="656">
        <f t="shared" si="5"/>
        <v>0</v>
      </c>
      <c r="K24" s="658"/>
      <c r="L24" s="662"/>
      <c r="M24" s="515"/>
    </row>
    <row r="25" spans="1:13" s="516" customFormat="1" ht="26.25" thickTop="1">
      <c r="A25" s="533" t="s">
        <v>578</v>
      </c>
      <c r="B25" s="540" t="s">
        <v>543</v>
      </c>
      <c r="C25" s="535" t="s">
        <v>544</v>
      </c>
      <c r="D25" s="536">
        <f>87000*2+89000+E25</f>
        <v>350000</v>
      </c>
      <c r="E25" s="536">
        <f>SUM(F25,G25,H25,I25,L23)</f>
        <v>87000</v>
      </c>
      <c r="F25" s="536"/>
      <c r="G25" s="536">
        <v>87000</v>
      </c>
      <c r="H25" s="536"/>
      <c r="I25" s="536"/>
      <c r="J25" s="536"/>
      <c r="K25" s="536"/>
      <c r="L25" s="682" t="s">
        <v>500</v>
      </c>
      <c r="M25" s="515"/>
    </row>
    <row r="26" spans="1:13" s="516" customFormat="1" ht="19.5" customHeight="1">
      <c r="A26" s="518" t="s">
        <v>579</v>
      </c>
      <c r="B26" s="528" t="s">
        <v>656</v>
      </c>
      <c r="C26" s="520" t="s">
        <v>448</v>
      </c>
      <c r="D26" s="521">
        <f>E26</f>
        <v>56000</v>
      </c>
      <c r="E26" s="521">
        <f>SUM(F26,G26,H26,I26,L24)</f>
        <v>56000</v>
      </c>
      <c r="F26" s="521"/>
      <c r="G26" s="521">
        <v>56000</v>
      </c>
      <c r="H26" s="521"/>
      <c r="I26" s="521"/>
      <c r="J26" s="521"/>
      <c r="K26" s="521"/>
      <c r="L26" s="684"/>
      <c r="M26" s="515"/>
    </row>
    <row r="27" spans="1:13" s="516" customFormat="1" ht="19.5" customHeight="1">
      <c r="A27" s="518" t="s">
        <v>580</v>
      </c>
      <c r="B27" s="528" t="s">
        <v>699</v>
      </c>
      <c r="C27" s="520" t="s">
        <v>546</v>
      </c>
      <c r="D27" s="525">
        <f>600000+E27</f>
        <v>610000</v>
      </c>
      <c r="E27" s="521">
        <f>G27</f>
        <v>10000</v>
      </c>
      <c r="F27" s="521"/>
      <c r="G27" s="521">
        <v>10000</v>
      </c>
      <c r="H27" s="521"/>
      <c r="I27" s="521"/>
      <c r="J27" s="521"/>
      <c r="K27" s="521"/>
      <c r="L27" s="684"/>
      <c r="M27" s="515"/>
    </row>
    <row r="28" spans="1:13" s="516" customFormat="1" ht="19.5" customHeight="1">
      <c r="A28" s="518" t="s">
        <v>581</v>
      </c>
      <c r="B28" s="531" t="s">
        <v>584</v>
      </c>
      <c r="C28" s="520">
        <v>2008</v>
      </c>
      <c r="D28" s="532">
        <f>E28</f>
        <v>250000</v>
      </c>
      <c r="E28" s="521">
        <f>SUM(F28,G28,H28,I28,L25)</f>
        <v>250000</v>
      </c>
      <c r="F28" s="521"/>
      <c r="G28" s="529">
        <v>25000</v>
      </c>
      <c r="H28" s="521"/>
      <c r="I28" s="521">
        <v>225000</v>
      </c>
      <c r="J28" s="529"/>
      <c r="K28" s="522"/>
      <c r="L28" s="684"/>
      <c r="M28" s="515"/>
    </row>
    <row r="29" spans="1:13" s="516" customFormat="1" ht="19.5" customHeight="1">
      <c r="A29" s="518" t="s">
        <v>505</v>
      </c>
      <c r="B29" s="534" t="s">
        <v>437</v>
      </c>
      <c r="C29" s="535" t="s">
        <v>506</v>
      </c>
      <c r="D29" s="539">
        <v>245500</v>
      </c>
      <c r="E29" s="521">
        <f>SUM(F29,G29,H29,I29,L26)</f>
        <v>90000</v>
      </c>
      <c r="F29" s="536"/>
      <c r="G29" s="537">
        <v>90000</v>
      </c>
      <c r="H29" s="536"/>
      <c r="I29" s="536"/>
      <c r="J29" s="537"/>
      <c r="K29" s="522"/>
      <c r="L29" s="684"/>
      <c r="M29" s="515"/>
    </row>
    <row r="30" spans="1:13" s="516" customFormat="1" ht="19.5" customHeight="1">
      <c r="A30" s="518" t="s">
        <v>555</v>
      </c>
      <c r="B30" s="531" t="s">
        <v>686</v>
      </c>
      <c r="C30" s="520">
        <v>2008</v>
      </c>
      <c r="D30" s="532">
        <f>E30</f>
        <v>10000</v>
      </c>
      <c r="E30" s="521">
        <f>SUM(F30,G30,H30,I30,L27)</f>
        <v>10000</v>
      </c>
      <c r="F30" s="521"/>
      <c r="G30" s="529">
        <v>10000</v>
      </c>
      <c r="H30" s="521"/>
      <c r="I30" s="521"/>
      <c r="J30" s="529"/>
      <c r="K30" s="522"/>
      <c r="L30" s="684"/>
      <c r="M30" s="515"/>
    </row>
    <row r="31" spans="1:13" s="516" customFormat="1" ht="19.5" customHeight="1">
      <c r="A31" s="518" t="s">
        <v>507</v>
      </c>
      <c r="B31" s="531" t="s">
        <v>611</v>
      </c>
      <c r="C31" s="520">
        <v>2008</v>
      </c>
      <c r="D31" s="532">
        <f>E31</f>
        <v>30000</v>
      </c>
      <c r="E31" s="521">
        <f>SUM(F31,G31,H31,I31,L27)</f>
        <v>30000</v>
      </c>
      <c r="F31" s="521"/>
      <c r="G31" s="529">
        <v>30000</v>
      </c>
      <c r="H31" s="521"/>
      <c r="I31" s="521"/>
      <c r="J31" s="529"/>
      <c r="K31" s="522"/>
      <c r="L31" s="683"/>
      <c r="M31" s="515"/>
    </row>
    <row r="32" spans="1:13" s="516" customFormat="1" ht="15.75" customHeight="1" thickBot="1">
      <c r="A32" s="541"/>
      <c r="B32" s="542"/>
      <c r="C32" s="543"/>
      <c r="D32" s="544"/>
      <c r="E32" s="544"/>
      <c r="F32" s="544"/>
      <c r="G32" s="544"/>
      <c r="H32" s="544"/>
      <c r="I32" s="544"/>
      <c r="J32" s="544"/>
      <c r="K32" s="544"/>
      <c r="L32" s="545"/>
      <c r="M32" s="515"/>
    </row>
    <row r="33" spans="1:13" s="505" customFormat="1" ht="14.25" customHeight="1">
      <c r="A33" s="935" t="s">
        <v>110</v>
      </c>
      <c r="B33" s="899" t="s">
        <v>146</v>
      </c>
      <c r="C33" s="899" t="s">
        <v>431</v>
      </c>
      <c r="D33" s="914" t="s">
        <v>460</v>
      </c>
      <c r="E33" s="899" t="s">
        <v>731</v>
      </c>
      <c r="F33" s="901" t="s">
        <v>432</v>
      </c>
      <c r="G33" s="902"/>
      <c r="H33" s="902"/>
      <c r="I33" s="903"/>
      <c r="J33" s="504"/>
      <c r="K33" s="504"/>
      <c r="L33" s="904" t="s">
        <v>144</v>
      </c>
      <c r="M33" s="503"/>
    </row>
    <row r="34" spans="1:13" s="505" customFormat="1" ht="14.25" customHeight="1">
      <c r="A34" s="936"/>
      <c r="B34" s="900"/>
      <c r="C34" s="900"/>
      <c r="D34" s="915"/>
      <c r="E34" s="900"/>
      <c r="F34" s="907" t="s">
        <v>445</v>
      </c>
      <c r="G34" s="907" t="s">
        <v>433</v>
      </c>
      <c r="H34" s="907"/>
      <c r="I34" s="907"/>
      <c r="J34" s="506"/>
      <c r="K34" s="506"/>
      <c r="L34" s="905"/>
      <c r="M34" s="503"/>
    </row>
    <row r="35" spans="1:13" s="505" customFormat="1" ht="14.25" customHeight="1">
      <c r="A35" s="936"/>
      <c r="B35" s="900"/>
      <c r="C35" s="900"/>
      <c r="D35" s="915"/>
      <c r="E35" s="900"/>
      <c r="F35" s="908"/>
      <c r="G35" s="916" t="s">
        <v>145</v>
      </c>
      <c r="H35" s="916" t="s">
        <v>135</v>
      </c>
      <c r="I35" s="916" t="s">
        <v>664</v>
      </c>
      <c r="J35" s="496" t="s">
        <v>497</v>
      </c>
      <c r="K35" s="916" t="s">
        <v>550</v>
      </c>
      <c r="L35" s="905"/>
      <c r="M35" s="503"/>
    </row>
    <row r="36" spans="1:13" s="505" customFormat="1" ht="14.25" customHeight="1">
      <c r="A36" s="936"/>
      <c r="B36" s="900"/>
      <c r="C36" s="900"/>
      <c r="D36" s="915"/>
      <c r="E36" s="900"/>
      <c r="F36" s="908"/>
      <c r="G36" s="917"/>
      <c r="H36" s="917"/>
      <c r="I36" s="917"/>
      <c r="J36" s="497"/>
      <c r="K36" s="917"/>
      <c r="L36" s="905"/>
      <c r="M36" s="503"/>
    </row>
    <row r="37" spans="1:13" s="505" customFormat="1" ht="15" customHeight="1" thickBot="1">
      <c r="A37" s="936"/>
      <c r="B37" s="900"/>
      <c r="C37" s="900"/>
      <c r="D37" s="915"/>
      <c r="E37" s="900"/>
      <c r="F37" s="908"/>
      <c r="G37" s="917"/>
      <c r="H37" s="917"/>
      <c r="I37" s="917"/>
      <c r="J37" s="497"/>
      <c r="K37" s="918"/>
      <c r="L37" s="906"/>
      <c r="M37" s="503"/>
    </row>
    <row r="38" spans="1:13" s="513" customFormat="1" ht="10.5" customHeight="1" thickBot="1">
      <c r="A38" s="546">
        <v>1</v>
      </c>
      <c r="B38" s="547">
        <v>2</v>
      </c>
      <c r="C38" s="547">
        <v>3</v>
      </c>
      <c r="D38" s="548">
        <v>4</v>
      </c>
      <c r="E38" s="547">
        <v>5</v>
      </c>
      <c r="F38" s="547">
        <v>6</v>
      </c>
      <c r="G38" s="549">
        <v>7</v>
      </c>
      <c r="H38" s="549">
        <v>8</v>
      </c>
      <c r="I38" s="549">
        <v>9</v>
      </c>
      <c r="J38" s="549">
        <v>10</v>
      </c>
      <c r="K38" s="549">
        <v>10</v>
      </c>
      <c r="L38" s="677">
        <v>11</v>
      </c>
      <c r="M38" s="512"/>
    </row>
    <row r="39" spans="1:13" s="516" customFormat="1" ht="19.5" customHeight="1" thickBot="1">
      <c r="A39" s="518" t="s">
        <v>511</v>
      </c>
      <c r="B39" s="540" t="s">
        <v>612</v>
      </c>
      <c r="C39" s="535">
        <v>2008</v>
      </c>
      <c r="D39" s="539">
        <f>E39</f>
        <v>30000</v>
      </c>
      <c r="E39" s="536">
        <f>SUM(F39,G39,H39,I39,L39)</f>
        <v>30000</v>
      </c>
      <c r="F39" s="536"/>
      <c r="G39" s="537">
        <v>30000</v>
      </c>
      <c r="H39" s="536"/>
      <c r="I39" s="536"/>
      <c r="J39" s="537"/>
      <c r="K39" s="538"/>
      <c r="L39" s="683"/>
      <c r="M39" s="515"/>
    </row>
    <row r="40" spans="1:13" s="516" customFormat="1" ht="25.5" customHeight="1" thickBot="1">
      <c r="A40" s="937" t="s">
        <v>452</v>
      </c>
      <c r="B40" s="938"/>
      <c r="C40" s="939"/>
      <c r="D40" s="530">
        <f aca="true" t="shared" si="6" ref="D40:J40">D41</f>
        <v>740000</v>
      </c>
      <c r="E40" s="530">
        <f t="shared" si="6"/>
        <v>465000</v>
      </c>
      <c r="F40" s="530">
        <f t="shared" si="6"/>
        <v>0</v>
      </c>
      <c r="G40" s="551">
        <f t="shared" si="6"/>
        <v>240000</v>
      </c>
      <c r="H40" s="530">
        <f t="shared" si="6"/>
        <v>225000</v>
      </c>
      <c r="I40" s="530">
        <f t="shared" si="6"/>
        <v>0</v>
      </c>
      <c r="J40" s="530">
        <f t="shared" si="6"/>
        <v>0</v>
      </c>
      <c r="K40" s="551"/>
      <c r="L40" s="607"/>
      <c r="M40" s="515"/>
    </row>
    <row r="41" spans="1:13" s="516" customFormat="1" ht="24.75" customHeight="1" thickBot="1">
      <c r="A41" s="940" t="s">
        <v>453</v>
      </c>
      <c r="B41" s="941"/>
      <c r="C41" s="942"/>
      <c r="D41" s="656">
        <f aca="true" t="shared" si="7" ref="D41:J41">SUM(D42:D44)</f>
        <v>740000</v>
      </c>
      <c r="E41" s="656">
        <f t="shared" si="7"/>
        <v>465000</v>
      </c>
      <c r="F41" s="656">
        <f t="shared" si="7"/>
        <v>0</v>
      </c>
      <c r="G41" s="656">
        <f t="shared" si="7"/>
        <v>240000</v>
      </c>
      <c r="H41" s="656">
        <f t="shared" si="7"/>
        <v>225000</v>
      </c>
      <c r="I41" s="656">
        <f t="shared" si="7"/>
        <v>0</v>
      </c>
      <c r="J41" s="656">
        <f t="shared" si="7"/>
        <v>0</v>
      </c>
      <c r="K41" s="658"/>
      <c r="L41" s="654"/>
      <c r="M41" s="515"/>
    </row>
    <row r="42" spans="1:13" s="516" customFormat="1" ht="26.25" thickTop="1">
      <c r="A42" s="533" t="s">
        <v>515</v>
      </c>
      <c r="B42" s="654" t="s">
        <v>576</v>
      </c>
      <c r="C42" s="663" t="s">
        <v>506</v>
      </c>
      <c r="D42" s="536">
        <f>E42+25000+250000</f>
        <v>505000</v>
      </c>
      <c r="E42" s="536">
        <f>SUM(F42,G42,H42,I42,L40)</f>
        <v>230000</v>
      </c>
      <c r="F42" s="536"/>
      <c r="G42" s="537">
        <v>5000</v>
      </c>
      <c r="H42" s="536">
        <v>225000</v>
      </c>
      <c r="I42" s="536"/>
      <c r="J42" s="537"/>
      <c r="K42" s="536"/>
      <c r="L42" s="920" t="s">
        <v>449</v>
      </c>
      <c r="M42" s="515"/>
    </row>
    <row r="43" spans="1:13" s="516" customFormat="1" ht="24.75" customHeight="1">
      <c r="A43" s="518" t="s">
        <v>516</v>
      </c>
      <c r="B43" s="519" t="s">
        <v>665</v>
      </c>
      <c r="C43" s="554">
        <v>2008</v>
      </c>
      <c r="D43" s="521">
        <f>E43</f>
        <v>220000</v>
      </c>
      <c r="E43" s="521">
        <f>SUM(F43,G43,H43,I43,L40)</f>
        <v>220000</v>
      </c>
      <c r="F43" s="521"/>
      <c r="G43" s="529">
        <v>220000</v>
      </c>
      <c r="H43" s="521"/>
      <c r="I43" s="521"/>
      <c r="J43" s="529"/>
      <c r="K43" s="521"/>
      <c r="L43" s="920"/>
      <c r="M43" s="515"/>
    </row>
    <row r="44" spans="1:13" s="516" customFormat="1" ht="24.75" customHeight="1" thickBot="1">
      <c r="A44" s="605" t="s">
        <v>658</v>
      </c>
      <c r="B44" s="571" t="s">
        <v>556</v>
      </c>
      <c r="C44" s="606">
        <v>2008</v>
      </c>
      <c r="D44" s="572">
        <f>E44</f>
        <v>15000</v>
      </c>
      <c r="E44" s="572">
        <f>SUM(F44,G44,H44,I44,L41)</f>
        <v>15000</v>
      </c>
      <c r="F44" s="572"/>
      <c r="G44" s="573">
        <v>15000</v>
      </c>
      <c r="H44" s="572"/>
      <c r="I44" s="572"/>
      <c r="J44" s="573"/>
      <c r="K44" s="572"/>
      <c r="L44" s="921"/>
      <c r="M44" s="515"/>
    </row>
    <row r="45" spans="1:13" s="516" customFormat="1" ht="26.25" hidden="1" thickBot="1">
      <c r="A45" s="555" t="s">
        <v>507</v>
      </c>
      <c r="B45" s="556" t="s">
        <v>508</v>
      </c>
      <c r="C45" s="557">
        <v>2007</v>
      </c>
      <c r="D45" s="558">
        <f>E45</f>
        <v>0</v>
      </c>
      <c r="E45" s="558">
        <f>SUM(F45,G45,H45,I45,L40)</f>
        <v>0</v>
      </c>
      <c r="F45" s="558"/>
      <c r="G45" s="559"/>
      <c r="H45" s="558"/>
      <c r="I45" s="558"/>
      <c r="J45" s="559"/>
      <c r="K45" s="559"/>
      <c r="L45" s="560" t="s">
        <v>503</v>
      </c>
      <c r="M45" s="515"/>
    </row>
    <row r="46" spans="1:13" s="516" customFormat="1" ht="18.75" customHeight="1" hidden="1">
      <c r="A46" s="932" t="s">
        <v>438</v>
      </c>
      <c r="B46" s="933"/>
      <c r="C46" s="934"/>
      <c r="D46" s="514">
        <f aca="true" t="shared" si="8" ref="D46:I46">D47</f>
        <v>0</v>
      </c>
      <c r="E46" s="514">
        <f t="shared" si="8"/>
        <v>0</v>
      </c>
      <c r="F46" s="514">
        <f t="shared" si="8"/>
        <v>0</v>
      </c>
      <c r="G46" s="561">
        <f t="shared" si="8"/>
        <v>0</v>
      </c>
      <c r="H46" s="514">
        <f t="shared" si="8"/>
        <v>0</v>
      </c>
      <c r="I46" s="514">
        <f t="shared" si="8"/>
        <v>0</v>
      </c>
      <c r="J46" s="562"/>
      <c r="K46" s="562"/>
      <c r="L46" s="563"/>
      <c r="M46" s="515"/>
    </row>
    <row r="47" spans="1:13" s="516" customFormat="1" ht="22.5" customHeight="1" hidden="1">
      <c r="A47" s="929" t="s">
        <v>439</v>
      </c>
      <c r="B47" s="930"/>
      <c r="C47" s="931"/>
      <c r="D47" s="517">
        <f aca="true" t="shared" si="9" ref="D47:I47">SUM(D48:D49)</f>
        <v>0</v>
      </c>
      <c r="E47" s="517">
        <f t="shared" si="9"/>
        <v>0</v>
      </c>
      <c r="F47" s="517">
        <f t="shared" si="9"/>
        <v>0</v>
      </c>
      <c r="G47" s="517">
        <f t="shared" si="9"/>
        <v>0</v>
      </c>
      <c r="H47" s="517">
        <f t="shared" si="9"/>
        <v>0</v>
      </c>
      <c r="I47" s="517">
        <f t="shared" si="9"/>
        <v>0</v>
      </c>
      <c r="J47" s="517"/>
      <c r="K47" s="517">
        <f>SUM(K48:K49)</f>
        <v>0</v>
      </c>
      <c r="L47" s="553"/>
      <c r="M47" s="515"/>
    </row>
    <row r="48" spans="1:13" s="516" customFormat="1" ht="25.5" hidden="1">
      <c r="A48" s="518" t="s">
        <v>509</v>
      </c>
      <c r="B48" s="519" t="s">
        <v>510</v>
      </c>
      <c r="C48" s="564">
        <v>2007</v>
      </c>
      <c r="D48" s="521">
        <f>E48</f>
        <v>0</v>
      </c>
      <c r="E48" s="521">
        <f>SUM(F48:I48)</f>
        <v>0</v>
      </c>
      <c r="F48" s="521"/>
      <c r="G48" s="521"/>
      <c r="H48" s="521"/>
      <c r="I48" s="521"/>
      <c r="J48" s="521"/>
      <c r="K48" s="521"/>
      <c r="L48" s="952" t="s">
        <v>449</v>
      </c>
      <c r="M48" s="515"/>
    </row>
    <row r="49" spans="1:13" s="516" customFormat="1" ht="39" hidden="1" thickBot="1">
      <c r="A49" s="604" t="s">
        <v>511</v>
      </c>
      <c r="B49" s="582" t="s">
        <v>512</v>
      </c>
      <c r="C49" s="603" t="s">
        <v>447</v>
      </c>
      <c r="D49" s="583"/>
      <c r="E49" s="583">
        <f>SUM(F49,G49,H49,I49,L46)</f>
        <v>0</v>
      </c>
      <c r="F49" s="583"/>
      <c r="G49" s="584"/>
      <c r="H49" s="583"/>
      <c r="I49" s="583"/>
      <c r="J49" s="584"/>
      <c r="K49" s="584"/>
      <c r="L49" s="920"/>
      <c r="M49" s="515"/>
    </row>
    <row r="50" spans="1:13" s="516" customFormat="1" ht="18.75" customHeight="1" thickBot="1">
      <c r="A50" s="937" t="s">
        <v>682</v>
      </c>
      <c r="B50" s="938"/>
      <c r="C50" s="939"/>
      <c r="D50" s="530">
        <f aca="true" t="shared" si="10" ref="D50:J50">D51</f>
        <v>10000</v>
      </c>
      <c r="E50" s="530">
        <f t="shared" si="10"/>
        <v>10000</v>
      </c>
      <c r="F50" s="530">
        <f t="shared" si="10"/>
        <v>0</v>
      </c>
      <c r="G50" s="551">
        <f t="shared" si="10"/>
        <v>10000</v>
      </c>
      <c r="H50" s="530">
        <f t="shared" si="10"/>
        <v>0</v>
      </c>
      <c r="I50" s="530">
        <f t="shared" si="10"/>
        <v>0</v>
      </c>
      <c r="J50" s="530">
        <f t="shared" si="10"/>
        <v>0</v>
      </c>
      <c r="K50" s="530"/>
      <c r="L50" s="552"/>
      <c r="M50" s="515"/>
    </row>
    <row r="51" spans="1:13" s="516" customFormat="1" ht="18.75" customHeight="1" thickBot="1">
      <c r="A51" s="912" t="s">
        <v>683</v>
      </c>
      <c r="B51" s="913"/>
      <c r="C51" s="913"/>
      <c r="D51" s="656">
        <f aca="true" t="shared" si="11" ref="D51:J51">SUM(D52:D52)</f>
        <v>10000</v>
      </c>
      <c r="E51" s="656">
        <f t="shared" si="11"/>
        <v>10000</v>
      </c>
      <c r="F51" s="656">
        <f t="shared" si="11"/>
        <v>0</v>
      </c>
      <c r="G51" s="656">
        <f t="shared" si="11"/>
        <v>10000</v>
      </c>
      <c r="H51" s="656">
        <f t="shared" si="11"/>
        <v>0</v>
      </c>
      <c r="I51" s="657">
        <f t="shared" si="11"/>
        <v>0</v>
      </c>
      <c r="J51" s="664">
        <f t="shared" si="11"/>
        <v>0</v>
      </c>
      <c r="K51" s="909" t="s">
        <v>678</v>
      </c>
      <c r="L51" s="898" t="s">
        <v>503</v>
      </c>
      <c r="M51" s="515"/>
    </row>
    <row r="52" spans="1:13" s="516" customFormat="1" ht="25.5" customHeight="1" thickBot="1" thickTop="1">
      <c r="A52" s="566" t="s">
        <v>517</v>
      </c>
      <c r="B52" s="556" t="s">
        <v>613</v>
      </c>
      <c r="C52" s="567">
        <v>2008</v>
      </c>
      <c r="D52" s="558">
        <f>E52</f>
        <v>10000</v>
      </c>
      <c r="E52" s="558">
        <f>G52</f>
        <v>10000</v>
      </c>
      <c r="F52" s="558"/>
      <c r="G52" s="559">
        <v>10000</v>
      </c>
      <c r="H52" s="558"/>
      <c r="I52" s="558"/>
      <c r="J52" s="559"/>
      <c r="K52" s="910"/>
      <c r="L52" s="911"/>
      <c r="M52" s="515"/>
    </row>
    <row r="53" spans="1:13" s="516" customFormat="1" ht="30" customHeight="1" thickBot="1">
      <c r="A53" s="937" t="s">
        <v>513</v>
      </c>
      <c r="B53" s="938"/>
      <c r="C53" s="939"/>
      <c r="D53" s="530">
        <f aca="true" t="shared" si="12" ref="D53:I53">D54</f>
        <v>570000</v>
      </c>
      <c r="E53" s="530">
        <f t="shared" si="12"/>
        <v>570000</v>
      </c>
      <c r="F53" s="530">
        <f t="shared" si="12"/>
        <v>0</v>
      </c>
      <c r="G53" s="530">
        <f t="shared" si="12"/>
        <v>220000</v>
      </c>
      <c r="H53" s="530">
        <f t="shared" si="12"/>
        <v>200000</v>
      </c>
      <c r="I53" s="530">
        <f t="shared" si="12"/>
        <v>150000</v>
      </c>
      <c r="J53" s="551"/>
      <c r="K53" s="551"/>
      <c r="L53" s="552"/>
      <c r="M53" s="515"/>
    </row>
    <row r="54" spans="1:13" s="516" customFormat="1" ht="23.25" customHeight="1" thickBot="1">
      <c r="A54" s="912" t="s">
        <v>514</v>
      </c>
      <c r="B54" s="913"/>
      <c r="C54" s="913"/>
      <c r="D54" s="656">
        <f aca="true" t="shared" si="13" ref="D54:I54">SUM(D55:D56)</f>
        <v>570000</v>
      </c>
      <c r="E54" s="656">
        <f t="shared" si="13"/>
        <v>570000</v>
      </c>
      <c r="F54" s="656">
        <f t="shared" si="13"/>
        <v>0</v>
      </c>
      <c r="G54" s="656">
        <f t="shared" si="13"/>
        <v>220000</v>
      </c>
      <c r="H54" s="656">
        <f t="shared" si="13"/>
        <v>200000</v>
      </c>
      <c r="I54" s="656">
        <f t="shared" si="13"/>
        <v>150000</v>
      </c>
      <c r="J54" s="656"/>
      <c r="K54" s="657"/>
      <c r="L54" s="919" t="s">
        <v>500</v>
      </c>
      <c r="M54" s="515"/>
    </row>
    <row r="55" spans="1:13" s="516" customFormat="1" ht="21" customHeight="1" thickTop="1">
      <c r="A55" s="665" t="s">
        <v>520</v>
      </c>
      <c r="B55" s="654" t="s">
        <v>666</v>
      </c>
      <c r="C55" s="666">
        <v>2008</v>
      </c>
      <c r="D55" s="536">
        <f>E55</f>
        <v>50000</v>
      </c>
      <c r="E55" s="536">
        <f>SUM(F55:I55)</f>
        <v>50000</v>
      </c>
      <c r="F55" s="536"/>
      <c r="G55" s="536">
        <v>50000</v>
      </c>
      <c r="H55" s="536"/>
      <c r="I55" s="536"/>
      <c r="J55" s="537"/>
      <c r="K55" s="536"/>
      <c r="L55" s="920"/>
      <c r="M55" s="515"/>
    </row>
    <row r="56" spans="1:13" s="516" customFormat="1" ht="21" customHeight="1" thickBot="1">
      <c r="A56" s="566" t="s">
        <v>670</v>
      </c>
      <c r="B56" s="556" t="s">
        <v>657</v>
      </c>
      <c r="C56" s="567">
        <v>2008</v>
      </c>
      <c r="D56" s="558">
        <f>E56</f>
        <v>520000</v>
      </c>
      <c r="E56" s="558">
        <f>SUM(F56,G56,H56,I56,L40)</f>
        <v>520000</v>
      </c>
      <c r="F56" s="558"/>
      <c r="G56" s="558">
        <v>170000</v>
      </c>
      <c r="H56" s="558">
        <v>200000</v>
      </c>
      <c r="I56" s="558">
        <v>150000</v>
      </c>
      <c r="J56" s="559"/>
      <c r="K56" s="559"/>
      <c r="L56" s="921"/>
      <c r="M56" s="515"/>
    </row>
    <row r="57" spans="1:13" s="516" customFormat="1" ht="18.75" customHeight="1" thickBot="1">
      <c r="A57" s="937" t="s">
        <v>451</v>
      </c>
      <c r="B57" s="938"/>
      <c r="C57" s="939"/>
      <c r="D57" s="530">
        <f>D60+D58</f>
        <v>268300</v>
      </c>
      <c r="E57" s="530">
        <f aca="true" t="shared" si="14" ref="E57:J57">E60+E58</f>
        <v>268300</v>
      </c>
      <c r="F57" s="530">
        <f t="shared" si="14"/>
        <v>0</v>
      </c>
      <c r="G57" s="530">
        <f t="shared" si="14"/>
        <v>216839</v>
      </c>
      <c r="H57" s="530">
        <f t="shared" si="14"/>
        <v>0</v>
      </c>
      <c r="I57" s="530">
        <f t="shared" si="14"/>
        <v>51461</v>
      </c>
      <c r="J57" s="530">
        <f t="shared" si="14"/>
        <v>0</v>
      </c>
      <c r="K57" s="530"/>
      <c r="L57" s="552"/>
      <c r="M57" s="515"/>
    </row>
    <row r="58" spans="1:13" s="516" customFormat="1" ht="18.75" customHeight="1" thickBot="1">
      <c r="A58" s="912" t="s">
        <v>684</v>
      </c>
      <c r="B58" s="913"/>
      <c r="C58" s="913"/>
      <c r="D58" s="656">
        <f aca="true" t="shared" si="15" ref="D58:I58">D59</f>
        <v>20000</v>
      </c>
      <c r="E58" s="656">
        <f t="shared" si="15"/>
        <v>20000</v>
      </c>
      <c r="F58" s="656">
        <f t="shared" si="15"/>
        <v>0</v>
      </c>
      <c r="G58" s="656">
        <f t="shared" si="15"/>
        <v>20000</v>
      </c>
      <c r="H58" s="656">
        <f t="shared" si="15"/>
        <v>0</v>
      </c>
      <c r="I58" s="657">
        <f t="shared" si="15"/>
        <v>0</v>
      </c>
      <c r="J58" s="664">
        <f>SUM(J59:J60)</f>
        <v>0</v>
      </c>
      <c r="K58" s="909" t="s">
        <v>678</v>
      </c>
      <c r="L58" s="898" t="s">
        <v>503</v>
      </c>
      <c r="M58" s="515"/>
    </row>
    <row r="59" spans="1:13" s="516" customFormat="1" ht="26.25" customHeight="1" thickBot="1" thickTop="1">
      <c r="A59" s="581" t="s">
        <v>671</v>
      </c>
      <c r="B59" s="582" t="s">
        <v>685</v>
      </c>
      <c r="C59" s="667">
        <v>2008</v>
      </c>
      <c r="D59" s="583">
        <f>E59</f>
        <v>20000</v>
      </c>
      <c r="E59" s="583">
        <f>G59</f>
        <v>20000</v>
      </c>
      <c r="F59" s="583"/>
      <c r="G59" s="583">
        <v>20000</v>
      </c>
      <c r="H59" s="583"/>
      <c r="I59" s="583"/>
      <c r="J59" s="649"/>
      <c r="K59" s="909"/>
      <c r="L59" s="896"/>
      <c r="M59" s="515"/>
    </row>
    <row r="60" spans="1:13" s="516" customFormat="1" ht="18.75" customHeight="1" thickBot="1" thickTop="1">
      <c r="A60" s="943" t="s">
        <v>667</v>
      </c>
      <c r="B60" s="944"/>
      <c r="C60" s="944"/>
      <c r="D60" s="651">
        <f aca="true" t="shared" si="16" ref="D60:J60">SUM(D61:D62)</f>
        <v>248300</v>
      </c>
      <c r="E60" s="651">
        <f t="shared" si="16"/>
        <v>248300</v>
      </c>
      <c r="F60" s="651">
        <f t="shared" si="16"/>
        <v>0</v>
      </c>
      <c r="G60" s="651">
        <f t="shared" si="16"/>
        <v>196839</v>
      </c>
      <c r="H60" s="651">
        <f t="shared" si="16"/>
        <v>0</v>
      </c>
      <c r="I60" s="651">
        <f t="shared" si="16"/>
        <v>51461</v>
      </c>
      <c r="J60" s="651">
        <f t="shared" si="16"/>
        <v>0</v>
      </c>
      <c r="K60" s="652"/>
      <c r="L60" s="919" t="s">
        <v>500</v>
      </c>
      <c r="M60" s="515"/>
    </row>
    <row r="61" spans="1:13" s="516" customFormat="1" ht="21.75" customHeight="1" thickTop="1">
      <c r="A61" s="665" t="s">
        <v>672</v>
      </c>
      <c r="B61" s="654" t="s">
        <v>668</v>
      </c>
      <c r="C61" s="666" t="s">
        <v>448</v>
      </c>
      <c r="D61" s="536">
        <f>E61</f>
        <v>176300</v>
      </c>
      <c r="E61" s="536">
        <f>SUM(F61,G61,H61,I61,L44)</f>
        <v>176300</v>
      </c>
      <c r="F61" s="536"/>
      <c r="G61" s="536">
        <f>176300-I61</f>
        <v>124839</v>
      </c>
      <c r="H61" s="536"/>
      <c r="I61" s="536">
        <v>51461</v>
      </c>
      <c r="J61" s="536"/>
      <c r="K61" s="536"/>
      <c r="L61" s="920"/>
      <c r="M61" s="515"/>
    </row>
    <row r="62" spans="1:13" s="516" customFormat="1" ht="21.75" customHeight="1" thickBot="1">
      <c r="A62" s="566" t="s">
        <v>673</v>
      </c>
      <c r="B62" s="556" t="s">
        <v>669</v>
      </c>
      <c r="C62" s="567">
        <v>2008</v>
      </c>
      <c r="D62" s="558">
        <f>E62</f>
        <v>72000</v>
      </c>
      <c r="E62" s="558">
        <f>SUM(F62,G62,H62,I62,L32)</f>
        <v>72000</v>
      </c>
      <c r="F62" s="558"/>
      <c r="G62" s="558">
        <f>42000+30000</f>
        <v>72000</v>
      </c>
      <c r="H62" s="558"/>
      <c r="I62" s="558"/>
      <c r="J62" s="558"/>
      <c r="K62" s="558"/>
      <c r="L62" s="921"/>
      <c r="M62" s="515"/>
    </row>
    <row r="63" spans="1:13" s="516" customFormat="1" ht="18.75" customHeight="1" thickBot="1">
      <c r="A63" s="937" t="s">
        <v>440</v>
      </c>
      <c r="B63" s="938"/>
      <c r="C63" s="939"/>
      <c r="D63" s="530">
        <f aca="true" t="shared" si="17" ref="D63:J63">D64</f>
        <v>2900000</v>
      </c>
      <c r="E63" s="530">
        <f t="shared" si="17"/>
        <v>2885700</v>
      </c>
      <c r="F63" s="530">
        <f t="shared" si="17"/>
        <v>2465000</v>
      </c>
      <c r="G63" s="551">
        <f t="shared" si="17"/>
        <v>80700</v>
      </c>
      <c r="H63" s="530">
        <f t="shared" si="17"/>
        <v>340000</v>
      </c>
      <c r="I63" s="530">
        <f t="shared" si="17"/>
        <v>0</v>
      </c>
      <c r="J63" s="530">
        <f t="shared" si="17"/>
        <v>0</v>
      </c>
      <c r="K63" s="588"/>
      <c r="L63" s="926" t="s">
        <v>449</v>
      </c>
      <c r="M63" s="515"/>
    </row>
    <row r="64" spans="1:13" s="516" customFormat="1" ht="18.75" customHeight="1" thickBot="1">
      <c r="A64" s="912" t="s">
        <v>441</v>
      </c>
      <c r="B64" s="913"/>
      <c r="C64" s="913"/>
      <c r="D64" s="656">
        <f aca="true" t="shared" si="18" ref="D64:J64">SUM(D65:D65)</f>
        <v>2900000</v>
      </c>
      <c r="E64" s="656">
        <f t="shared" si="18"/>
        <v>2885700</v>
      </c>
      <c r="F64" s="656">
        <f t="shared" si="18"/>
        <v>2465000</v>
      </c>
      <c r="G64" s="656">
        <f t="shared" si="18"/>
        <v>80700</v>
      </c>
      <c r="H64" s="656">
        <f t="shared" si="18"/>
        <v>340000</v>
      </c>
      <c r="I64" s="656">
        <f t="shared" si="18"/>
        <v>0</v>
      </c>
      <c r="J64" s="656">
        <f t="shared" si="18"/>
        <v>0</v>
      </c>
      <c r="K64" s="657"/>
      <c r="L64" s="927"/>
      <c r="M64" s="515"/>
    </row>
    <row r="65" spans="1:13" s="516" customFormat="1" ht="25.5" customHeight="1" thickBot="1" thickTop="1">
      <c r="A65" s="566" t="s">
        <v>677</v>
      </c>
      <c r="B65" s="556" t="s">
        <v>549</v>
      </c>
      <c r="C65" s="668" t="s">
        <v>448</v>
      </c>
      <c r="D65" s="558">
        <v>2900000</v>
      </c>
      <c r="E65" s="558">
        <f>SUM(F65,G65,H65,I65,L65)</f>
        <v>2885700</v>
      </c>
      <c r="F65" s="558">
        <v>2465000</v>
      </c>
      <c r="G65" s="559">
        <f>3000+77700</f>
        <v>80700</v>
      </c>
      <c r="H65" s="558">
        <v>340000</v>
      </c>
      <c r="I65" s="558"/>
      <c r="J65" s="559"/>
      <c r="K65" s="559"/>
      <c r="L65" s="928"/>
      <c r="M65" s="515"/>
    </row>
    <row r="66" spans="1:13" s="516" customFormat="1" ht="18.75" customHeight="1" hidden="1">
      <c r="A66" s="932" t="s">
        <v>455</v>
      </c>
      <c r="B66" s="933"/>
      <c r="C66" s="934"/>
      <c r="D66" s="568">
        <f aca="true" t="shared" si="19" ref="D66:I66">D67</f>
        <v>15000</v>
      </c>
      <c r="E66" s="568">
        <f t="shared" si="19"/>
        <v>0</v>
      </c>
      <c r="F66" s="568">
        <f t="shared" si="19"/>
        <v>0</v>
      </c>
      <c r="G66" s="569">
        <f t="shared" si="19"/>
        <v>0</v>
      </c>
      <c r="H66" s="568">
        <f t="shared" si="19"/>
        <v>0</v>
      </c>
      <c r="I66" s="568">
        <f t="shared" si="19"/>
        <v>0</v>
      </c>
      <c r="J66" s="574"/>
      <c r="K66" s="574"/>
      <c r="L66" s="925" t="s">
        <v>458</v>
      </c>
      <c r="M66" s="515"/>
    </row>
    <row r="67" spans="1:13" s="516" customFormat="1" ht="18.75" customHeight="1" hidden="1">
      <c r="A67" s="950" t="s">
        <v>456</v>
      </c>
      <c r="B67" s="951"/>
      <c r="C67" s="951"/>
      <c r="D67" s="517">
        <f aca="true" t="shared" si="20" ref="D67:I67">SUM(D68:D68)</f>
        <v>15000</v>
      </c>
      <c r="E67" s="517">
        <f t="shared" si="20"/>
        <v>0</v>
      </c>
      <c r="F67" s="517">
        <f t="shared" si="20"/>
        <v>0</v>
      </c>
      <c r="G67" s="517">
        <f t="shared" si="20"/>
        <v>0</v>
      </c>
      <c r="H67" s="517">
        <f t="shared" si="20"/>
        <v>0</v>
      </c>
      <c r="I67" s="517">
        <f t="shared" si="20"/>
        <v>0</v>
      </c>
      <c r="J67" s="517"/>
      <c r="K67" s="517"/>
      <c r="L67" s="920"/>
      <c r="M67" s="515"/>
    </row>
    <row r="68" spans="1:13" s="516" customFormat="1" ht="18.75" customHeight="1" hidden="1" thickBot="1">
      <c r="A68" s="570" t="s">
        <v>517</v>
      </c>
      <c r="B68" s="571" t="s">
        <v>457</v>
      </c>
      <c r="C68" s="575">
        <v>2007</v>
      </c>
      <c r="D68" s="572">
        <v>15000</v>
      </c>
      <c r="E68" s="572">
        <f>SUM(F68,G68,H68,I68,L66)</f>
        <v>0</v>
      </c>
      <c r="F68" s="572"/>
      <c r="G68" s="573"/>
      <c r="H68" s="572"/>
      <c r="I68" s="572"/>
      <c r="J68" s="559"/>
      <c r="K68" s="559"/>
      <c r="L68" s="921"/>
      <c r="M68" s="515"/>
    </row>
    <row r="69" spans="1:13" s="516" customFormat="1" ht="15" customHeight="1" thickBot="1">
      <c r="A69" s="541"/>
      <c r="B69" s="542"/>
      <c r="C69" s="543"/>
      <c r="D69" s="544"/>
      <c r="E69" s="544"/>
      <c r="F69" s="544"/>
      <c r="G69" s="544"/>
      <c r="H69" s="544"/>
      <c r="I69" s="544"/>
      <c r="J69" s="544"/>
      <c r="K69" s="544"/>
      <c r="L69" s="545"/>
      <c r="M69" s="515"/>
    </row>
    <row r="70" spans="1:13" s="505" customFormat="1" ht="14.25" customHeight="1">
      <c r="A70" s="935" t="s">
        <v>110</v>
      </c>
      <c r="B70" s="899" t="s">
        <v>146</v>
      </c>
      <c r="C70" s="899" t="s">
        <v>431</v>
      </c>
      <c r="D70" s="914" t="s">
        <v>460</v>
      </c>
      <c r="E70" s="899" t="s">
        <v>731</v>
      </c>
      <c r="F70" s="901" t="s">
        <v>432</v>
      </c>
      <c r="G70" s="902"/>
      <c r="H70" s="902"/>
      <c r="I70" s="903"/>
      <c r="J70" s="504"/>
      <c r="K70" s="504"/>
      <c r="L70" s="904" t="s">
        <v>144</v>
      </c>
      <c r="M70" s="503"/>
    </row>
    <row r="71" spans="1:13" s="505" customFormat="1" ht="14.25" customHeight="1">
      <c r="A71" s="936"/>
      <c r="B71" s="900"/>
      <c r="C71" s="900"/>
      <c r="D71" s="915"/>
      <c r="E71" s="900"/>
      <c r="F71" s="907" t="s">
        <v>445</v>
      </c>
      <c r="G71" s="907" t="s">
        <v>433</v>
      </c>
      <c r="H71" s="907"/>
      <c r="I71" s="907"/>
      <c r="J71" s="506"/>
      <c r="K71" s="506"/>
      <c r="L71" s="905"/>
      <c r="M71" s="503"/>
    </row>
    <row r="72" spans="1:13" s="505" customFormat="1" ht="14.25" customHeight="1">
      <c r="A72" s="936"/>
      <c r="B72" s="900"/>
      <c r="C72" s="900"/>
      <c r="D72" s="915"/>
      <c r="E72" s="900"/>
      <c r="F72" s="908"/>
      <c r="G72" s="916" t="s">
        <v>145</v>
      </c>
      <c r="H72" s="916" t="s">
        <v>135</v>
      </c>
      <c r="I72" s="916" t="s">
        <v>664</v>
      </c>
      <c r="J72" s="496" t="s">
        <v>497</v>
      </c>
      <c r="K72" s="916" t="s">
        <v>550</v>
      </c>
      <c r="L72" s="905"/>
      <c r="M72" s="503"/>
    </row>
    <row r="73" spans="1:13" s="505" customFormat="1" ht="14.25" customHeight="1">
      <c r="A73" s="936"/>
      <c r="B73" s="900"/>
      <c r="C73" s="900"/>
      <c r="D73" s="915"/>
      <c r="E73" s="900"/>
      <c r="F73" s="908"/>
      <c r="G73" s="917"/>
      <c r="H73" s="917"/>
      <c r="I73" s="917"/>
      <c r="J73" s="497"/>
      <c r="K73" s="917"/>
      <c r="L73" s="905"/>
      <c r="M73" s="503"/>
    </row>
    <row r="74" spans="1:13" s="505" customFormat="1" ht="15" customHeight="1" thickBot="1">
      <c r="A74" s="936"/>
      <c r="B74" s="900"/>
      <c r="C74" s="900"/>
      <c r="D74" s="915"/>
      <c r="E74" s="900"/>
      <c r="F74" s="908"/>
      <c r="G74" s="917"/>
      <c r="H74" s="917"/>
      <c r="I74" s="917"/>
      <c r="J74" s="497"/>
      <c r="K74" s="918"/>
      <c r="L74" s="906"/>
      <c r="M74" s="503"/>
    </row>
    <row r="75" spans="1:13" s="513" customFormat="1" ht="10.5" customHeight="1" thickBot="1">
      <c r="A75" s="669">
        <v>1</v>
      </c>
      <c r="B75" s="670">
        <v>2</v>
      </c>
      <c r="C75" s="670">
        <v>3</v>
      </c>
      <c r="D75" s="671">
        <v>4</v>
      </c>
      <c r="E75" s="670">
        <v>5</v>
      </c>
      <c r="F75" s="670">
        <v>6</v>
      </c>
      <c r="G75" s="672">
        <v>7</v>
      </c>
      <c r="H75" s="672">
        <v>8</v>
      </c>
      <c r="I75" s="672">
        <v>9</v>
      </c>
      <c r="J75" s="672">
        <v>10</v>
      </c>
      <c r="K75" s="672">
        <v>10</v>
      </c>
      <c r="L75" s="550">
        <v>11</v>
      </c>
      <c r="M75" s="512"/>
    </row>
    <row r="76" spans="1:13" s="516" customFormat="1" ht="21.75" customHeight="1" thickBot="1">
      <c r="A76" s="937" t="s">
        <v>518</v>
      </c>
      <c r="B76" s="938"/>
      <c r="C76" s="939"/>
      <c r="D76" s="530">
        <f aca="true" t="shared" si="21" ref="D76:J76">D82+D77+D79</f>
        <v>968300</v>
      </c>
      <c r="E76" s="530">
        <f t="shared" si="21"/>
        <v>861000</v>
      </c>
      <c r="F76" s="530">
        <f t="shared" si="21"/>
        <v>680000</v>
      </c>
      <c r="G76" s="530">
        <f t="shared" si="21"/>
        <v>81000</v>
      </c>
      <c r="H76" s="530">
        <f t="shared" si="21"/>
        <v>75000</v>
      </c>
      <c r="I76" s="530">
        <f t="shared" si="21"/>
        <v>25000</v>
      </c>
      <c r="J76" s="530">
        <f t="shared" si="21"/>
        <v>0</v>
      </c>
      <c r="K76" s="530"/>
      <c r="L76" s="552"/>
      <c r="M76" s="515"/>
    </row>
    <row r="77" spans="1:13" s="516" customFormat="1" ht="19.5" customHeight="1" thickBot="1">
      <c r="A77" s="912" t="s">
        <v>519</v>
      </c>
      <c r="B77" s="913"/>
      <c r="C77" s="913"/>
      <c r="D77" s="656">
        <f aca="true" t="shared" si="22" ref="D77:K77">SUM(D78:D78)</f>
        <v>40000</v>
      </c>
      <c r="E77" s="656">
        <f t="shared" si="22"/>
        <v>40000</v>
      </c>
      <c r="F77" s="656">
        <f t="shared" si="22"/>
        <v>0</v>
      </c>
      <c r="G77" s="656">
        <f t="shared" si="22"/>
        <v>40000</v>
      </c>
      <c r="H77" s="656">
        <f t="shared" si="22"/>
        <v>0</v>
      </c>
      <c r="I77" s="656">
        <f t="shared" si="22"/>
        <v>0</v>
      </c>
      <c r="J77" s="656">
        <f t="shared" si="22"/>
        <v>0</v>
      </c>
      <c r="K77" s="657">
        <f t="shared" si="22"/>
        <v>0</v>
      </c>
      <c r="L77" s="897" t="s">
        <v>503</v>
      </c>
      <c r="M77" s="515"/>
    </row>
    <row r="78" spans="1:13" s="516" customFormat="1" ht="27.75" customHeight="1" thickBot="1" thickTop="1">
      <c r="A78" s="576" t="s">
        <v>700</v>
      </c>
      <c r="B78" s="540" t="s">
        <v>614</v>
      </c>
      <c r="C78" s="598">
        <v>2008</v>
      </c>
      <c r="D78" s="536">
        <f>E78</f>
        <v>40000</v>
      </c>
      <c r="E78" s="536">
        <f>F78+G78+H78+I78+J78</f>
        <v>40000</v>
      </c>
      <c r="F78" s="536"/>
      <c r="G78" s="536">
        <v>40000</v>
      </c>
      <c r="H78" s="536"/>
      <c r="I78" s="536"/>
      <c r="J78" s="536"/>
      <c r="K78" s="824" t="s">
        <v>615</v>
      </c>
      <c r="L78" s="898"/>
      <c r="M78" s="515"/>
    </row>
    <row r="79" spans="1:13" s="516" customFormat="1" ht="19.5" customHeight="1" thickBot="1" thickTop="1">
      <c r="A79" s="943" t="s">
        <v>679</v>
      </c>
      <c r="B79" s="944"/>
      <c r="C79" s="944"/>
      <c r="D79" s="651">
        <f aca="true" t="shared" si="23" ref="D79:K79">SUM(D80:D81)</f>
        <v>128300</v>
      </c>
      <c r="E79" s="651">
        <f t="shared" si="23"/>
        <v>21000</v>
      </c>
      <c r="F79" s="651">
        <f t="shared" si="23"/>
        <v>0</v>
      </c>
      <c r="G79" s="651">
        <f t="shared" si="23"/>
        <v>21000</v>
      </c>
      <c r="H79" s="651">
        <f t="shared" si="23"/>
        <v>0</v>
      </c>
      <c r="I79" s="651">
        <f t="shared" si="23"/>
        <v>0</v>
      </c>
      <c r="J79" s="651">
        <f t="shared" si="23"/>
        <v>0</v>
      </c>
      <c r="K79" s="652">
        <f t="shared" si="23"/>
        <v>0</v>
      </c>
      <c r="L79" s="895" t="s">
        <v>503</v>
      </c>
      <c r="M79" s="515"/>
    </row>
    <row r="80" spans="1:13" s="516" customFormat="1" ht="21.75" customHeight="1" thickTop="1">
      <c r="A80" s="576" t="s">
        <v>707</v>
      </c>
      <c r="B80" s="540" t="s">
        <v>680</v>
      </c>
      <c r="C80" s="598" t="s">
        <v>448</v>
      </c>
      <c r="D80" s="536">
        <f>E80+107300</f>
        <v>112300</v>
      </c>
      <c r="E80" s="536">
        <f>F80+G80+H80+I80+J80</f>
        <v>5000</v>
      </c>
      <c r="F80" s="536"/>
      <c r="G80" s="536">
        <v>5000</v>
      </c>
      <c r="H80" s="536"/>
      <c r="I80" s="536"/>
      <c r="J80" s="536"/>
      <c r="K80" s="909" t="s">
        <v>678</v>
      </c>
      <c r="L80" s="898"/>
      <c r="M80" s="515"/>
    </row>
    <row r="81" spans="1:13" s="516" customFormat="1" ht="27.75" customHeight="1" thickBot="1">
      <c r="A81" s="577" t="s">
        <v>708</v>
      </c>
      <c r="B81" s="673" t="s">
        <v>681</v>
      </c>
      <c r="C81" s="597">
        <v>2008</v>
      </c>
      <c r="D81" s="649">
        <f>E81</f>
        <v>16000</v>
      </c>
      <c r="E81" s="649">
        <f>F81+G81+H81+I81+J81</f>
        <v>16000</v>
      </c>
      <c r="F81" s="649"/>
      <c r="G81" s="649">
        <v>16000</v>
      </c>
      <c r="H81" s="649"/>
      <c r="I81" s="649"/>
      <c r="J81" s="649"/>
      <c r="K81" s="909"/>
      <c r="L81" s="896"/>
      <c r="M81" s="515"/>
    </row>
    <row r="82" spans="1:13" s="516" customFormat="1" ht="22.5" customHeight="1" thickBot="1" thickTop="1">
      <c r="A82" s="943" t="s">
        <v>548</v>
      </c>
      <c r="B82" s="944"/>
      <c r="C82" s="944"/>
      <c r="D82" s="651">
        <f aca="true" t="shared" si="24" ref="D82:I82">D83</f>
        <v>800000</v>
      </c>
      <c r="E82" s="651">
        <f t="shared" si="24"/>
        <v>800000</v>
      </c>
      <c r="F82" s="651">
        <f t="shared" si="24"/>
        <v>680000</v>
      </c>
      <c r="G82" s="651">
        <f t="shared" si="24"/>
        <v>20000</v>
      </c>
      <c r="H82" s="651">
        <f t="shared" si="24"/>
        <v>75000</v>
      </c>
      <c r="I82" s="651">
        <f t="shared" si="24"/>
        <v>25000</v>
      </c>
      <c r="J82" s="651"/>
      <c r="K82" s="652"/>
      <c r="L82" s="895" t="s">
        <v>449</v>
      </c>
      <c r="M82" s="515"/>
    </row>
    <row r="83" spans="1:13" s="516" customFormat="1" ht="31.5" customHeight="1" thickBot="1" thickTop="1">
      <c r="A83" s="566" t="s">
        <v>709</v>
      </c>
      <c r="B83" s="654" t="s">
        <v>585</v>
      </c>
      <c r="C83" s="663" t="s">
        <v>448</v>
      </c>
      <c r="D83" s="536">
        <f>E83</f>
        <v>800000</v>
      </c>
      <c r="E83" s="558">
        <f>SUM(F83,G83,H83,I83,L49)</f>
        <v>800000</v>
      </c>
      <c r="F83" s="536">
        <v>680000</v>
      </c>
      <c r="G83" s="537">
        <v>20000</v>
      </c>
      <c r="H83" s="536">
        <v>75000</v>
      </c>
      <c r="I83" s="536">
        <v>25000</v>
      </c>
      <c r="J83" s="558">
        <v>26400</v>
      </c>
      <c r="K83" s="538" t="s">
        <v>583</v>
      </c>
      <c r="L83" s="896"/>
      <c r="M83" s="515"/>
    </row>
    <row r="84" spans="1:14" s="516" customFormat="1" ht="39" customHeight="1" hidden="1" thickBot="1">
      <c r="A84" s="577"/>
      <c r="B84" s="542"/>
      <c r="C84" s="543"/>
      <c r="D84" s="544"/>
      <c r="E84" s="544"/>
      <c r="F84" s="544"/>
      <c r="G84" s="544"/>
      <c r="H84" s="544"/>
      <c r="I84" s="544"/>
      <c r="J84" s="544"/>
      <c r="K84" s="544"/>
      <c r="L84" s="578"/>
      <c r="M84" s="579"/>
      <c r="N84" s="580"/>
    </row>
    <row r="85" spans="1:13" s="505" customFormat="1" ht="14.25" customHeight="1" hidden="1">
      <c r="A85" s="935" t="s">
        <v>110</v>
      </c>
      <c r="B85" s="899" t="s">
        <v>146</v>
      </c>
      <c r="C85" s="899" t="s">
        <v>431</v>
      </c>
      <c r="D85" s="914" t="s">
        <v>460</v>
      </c>
      <c r="E85" s="899" t="s">
        <v>496</v>
      </c>
      <c r="F85" s="901" t="s">
        <v>432</v>
      </c>
      <c r="G85" s="902"/>
      <c r="H85" s="902"/>
      <c r="I85" s="903"/>
      <c r="J85" s="504"/>
      <c r="K85" s="504"/>
      <c r="L85" s="904" t="s">
        <v>144</v>
      </c>
      <c r="M85" s="503"/>
    </row>
    <row r="86" spans="1:13" s="505" customFormat="1" ht="14.25" customHeight="1" hidden="1">
      <c r="A86" s="936"/>
      <c r="B86" s="900"/>
      <c r="C86" s="900"/>
      <c r="D86" s="915"/>
      <c r="E86" s="900"/>
      <c r="F86" s="907" t="s">
        <v>445</v>
      </c>
      <c r="G86" s="907" t="s">
        <v>433</v>
      </c>
      <c r="H86" s="907"/>
      <c r="I86" s="907"/>
      <c r="J86" s="506"/>
      <c r="K86" s="506"/>
      <c r="L86" s="905"/>
      <c r="M86" s="503"/>
    </row>
    <row r="87" spans="1:13" s="505" customFormat="1" ht="14.25" customHeight="1" hidden="1">
      <c r="A87" s="936"/>
      <c r="B87" s="900"/>
      <c r="C87" s="900"/>
      <c r="D87" s="915"/>
      <c r="E87" s="900"/>
      <c r="F87" s="908"/>
      <c r="G87" s="916" t="s">
        <v>145</v>
      </c>
      <c r="H87" s="916" t="s">
        <v>135</v>
      </c>
      <c r="I87" s="916" t="s">
        <v>446</v>
      </c>
      <c r="J87" s="496" t="s">
        <v>497</v>
      </c>
      <c r="K87" s="916" t="s">
        <v>498</v>
      </c>
      <c r="L87" s="905"/>
      <c r="M87" s="503"/>
    </row>
    <row r="88" spans="1:13" s="505" customFormat="1" ht="14.25" customHeight="1" hidden="1">
      <c r="A88" s="936"/>
      <c r="B88" s="900"/>
      <c r="C88" s="900"/>
      <c r="D88" s="915"/>
      <c r="E88" s="900"/>
      <c r="F88" s="908"/>
      <c r="G88" s="917"/>
      <c r="H88" s="917"/>
      <c r="I88" s="917"/>
      <c r="J88" s="497"/>
      <c r="K88" s="917"/>
      <c r="L88" s="905"/>
      <c r="M88" s="503"/>
    </row>
    <row r="89" spans="1:13" s="505" customFormat="1" ht="15" customHeight="1" hidden="1" thickBot="1">
      <c r="A89" s="936"/>
      <c r="B89" s="900"/>
      <c r="C89" s="900"/>
      <c r="D89" s="915"/>
      <c r="E89" s="900"/>
      <c r="F89" s="908"/>
      <c r="G89" s="917"/>
      <c r="H89" s="917"/>
      <c r="I89" s="917"/>
      <c r="J89" s="497"/>
      <c r="K89" s="922"/>
      <c r="L89" s="923"/>
      <c r="M89" s="503"/>
    </row>
    <row r="90" spans="1:13" s="513" customFormat="1" ht="10.5" customHeight="1" hidden="1" thickBot="1">
      <c r="A90" s="669">
        <v>1</v>
      </c>
      <c r="B90" s="670">
        <v>2</v>
      </c>
      <c r="C90" s="670">
        <v>3</v>
      </c>
      <c r="D90" s="671">
        <v>4</v>
      </c>
      <c r="E90" s="670">
        <v>5</v>
      </c>
      <c r="F90" s="670">
        <v>6</v>
      </c>
      <c r="G90" s="672">
        <v>7</v>
      </c>
      <c r="H90" s="672">
        <v>8</v>
      </c>
      <c r="I90" s="672">
        <v>9</v>
      </c>
      <c r="J90" s="672">
        <v>10</v>
      </c>
      <c r="K90" s="672">
        <v>11</v>
      </c>
      <c r="L90" s="644">
        <v>12</v>
      </c>
      <c r="M90" s="512"/>
    </row>
    <row r="91" spans="1:13" s="516" customFormat="1" ht="18.75" customHeight="1" thickBot="1">
      <c r="A91" s="945" t="s">
        <v>442</v>
      </c>
      <c r="B91" s="946"/>
      <c r="C91" s="946"/>
      <c r="D91" s="530">
        <f aca="true" t="shared" si="25" ref="D91:J91">D92+D95</f>
        <v>1083000</v>
      </c>
      <c r="E91" s="530">
        <f t="shared" si="25"/>
        <v>672800</v>
      </c>
      <c r="F91" s="530">
        <f t="shared" si="25"/>
        <v>0</v>
      </c>
      <c r="G91" s="530">
        <f t="shared" si="25"/>
        <v>197800</v>
      </c>
      <c r="H91" s="530">
        <f t="shared" si="25"/>
        <v>450000</v>
      </c>
      <c r="I91" s="530">
        <f t="shared" si="25"/>
        <v>25000</v>
      </c>
      <c r="J91" s="530">
        <f t="shared" si="25"/>
        <v>0</v>
      </c>
      <c r="K91" s="530"/>
      <c r="L91" s="679"/>
      <c r="M91" s="515"/>
    </row>
    <row r="92" spans="1:13" s="516" customFormat="1" ht="18.75" customHeight="1" thickBot="1">
      <c r="A92" s="912" t="s">
        <v>521</v>
      </c>
      <c r="B92" s="913"/>
      <c r="C92" s="913"/>
      <c r="D92" s="656">
        <f aca="true" t="shared" si="26" ref="D92:I92">SUM(D93:D94)</f>
        <v>583000</v>
      </c>
      <c r="E92" s="656">
        <f t="shared" si="26"/>
        <v>172800</v>
      </c>
      <c r="F92" s="656">
        <f t="shared" si="26"/>
        <v>0</v>
      </c>
      <c r="G92" s="656">
        <f t="shared" si="26"/>
        <v>97800</v>
      </c>
      <c r="H92" s="656">
        <f t="shared" si="26"/>
        <v>75000</v>
      </c>
      <c r="I92" s="656">
        <f t="shared" si="26"/>
        <v>0</v>
      </c>
      <c r="J92" s="656">
        <f>J94</f>
        <v>0</v>
      </c>
      <c r="K92" s="657"/>
      <c r="L92" s="678"/>
      <c r="M92" s="515"/>
    </row>
    <row r="93" spans="1:13" s="516" customFormat="1" ht="23.25" customHeight="1" thickTop="1">
      <c r="A93" s="665" t="s">
        <v>710</v>
      </c>
      <c r="B93" s="654" t="s">
        <v>559</v>
      </c>
      <c r="C93" s="666" t="s">
        <v>448</v>
      </c>
      <c r="D93" s="536">
        <f>E93+9000</f>
        <v>76000</v>
      </c>
      <c r="E93" s="536">
        <f>SUM(F93,G93,H93,I93,L93)</f>
        <v>67000</v>
      </c>
      <c r="F93" s="536"/>
      <c r="G93" s="536">
        <v>67000</v>
      </c>
      <c r="H93" s="536"/>
      <c r="I93" s="536"/>
      <c r="J93" s="536"/>
      <c r="K93" s="536"/>
      <c r="L93" s="959" t="s">
        <v>449</v>
      </c>
      <c r="M93" s="515"/>
    </row>
    <row r="94" spans="1:13" s="516" customFormat="1" ht="30" customHeight="1" thickBot="1">
      <c r="A94" s="674" t="s">
        <v>711</v>
      </c>
      <c r="B94" s="646" t="s">
        <v>577</v>
      </c>
      <c r="C94" s="675" t="s">
        <v>506</v>
      </c>
      <c r="D94" s="649">
        <v>507000</v>
      </c>
      <c r="E94" s="649">
        <f>SUM(F94,G94,H94,I94,L92)</f>
        <v>105800</v>
      </c>
      <c r="F94" s="649"/>
      <c r="G94" s="649">
        <v>30800</v>
      </c>
      <c r="H94" s="649">
        <v>75000</v>
      </c>
      <c r="I94" s="649"/>
      <c r="J94" s="649"/>
      <c r="K94" s="676" t="s">
        <v>553</v>
      </c>
      <c r="L94" s="896"/>
      <c r="M94" s="515"/>
    </row>
    <row r="95" spans="1:13" s="516" customFormat="1" ht="22.5" customHeight="1" thickBot="1" thickTop="1">
      <c r="A95" s="943" t="s">
        <v>443</v>
      </c>
      <c r="B95" s="944"/>
      <c r="C95" s="944"/>
      <c r="D95" s="651">
        <f aca="true" t="shared" si="27" ref="D95:J95">SUM(D96:D96)</f>
        <v>500000</v>
      </c>
      <c r="E95" s="651">
        <f t="shared" si="27"/>
        <v>500000</v>
      </c>
      <c r="F95" s="651">
        <f t="shared" si="27"/>
        <v>0</v>
      </c>
      <c r="G95" s="651">
        <f t="shared" si="27"/>
        <v>100000</v>
      </c>
      <c r="H95" s="651">
        <f t="shared" si="27"/>
        <v>375000</v>
      </c>
      <c r="I95" s="651">
        <f t="shared" si="27"/>
        <v>25000</v>
      </c>
      <c r="J95" s="651">
        <f t="shared" si="27"/>
        <v>0</v>
      </c>
      <c r="K95" s="652"/>
      <c r="L95" s="578"/>
      <c r="M95" s="515"/>
    </row>
    <row r="96" spans="1:13" s="516" customFormat="1" ht="39.75" thickBot="1" thickTop="1">
      <c r="A96" s="581" t="s">
        <v>712</v>
      </c>
      <c r="B96" s="582" t="s">
        <v>705</v>
      </c>
      <c r="C96" s="567" t="s">
        <v>448</v>
      </c>
      <c r="D96" s="558">
        <f>E96</f>
        <v>500000</v>
      </c>
      <c r="E96" s="583">
        <f>SUM(F96,G96,H96,I96,)</f>
        <v>500000</v>
      </c>
      <c r="F96" s="583"/>
      <c r="G96" s="584">
        <v>100000</v>
      </c>
      <c r="H96" s="583">
        <v>375000</v>
      </c>
      <c r="I96" s="583">
        <v>25000</v>
      </c>
      <c r="J96" s="584"/>
      <c r="K96" s="538" t="s">
        <v>552</v>
      </c>
      <c r="L96" s="560"/>
      <c r="M96" s="515"/>
    </row>
    <row r="97" spans="1:13" s="516" customFormat="1" ht="18" customHeight="1" thickBot="1">
      <c r="A97" s="945" t="s">
        <v>522</v>
      </c>
      <c r="B97" s="946"/>
      <c r="C97" s="946"/>
      <c r="D97" s="530">
        <f aca="true" t="shared" si="28" ref="D97:J97">D98+D103</f>
        <v>3739000</v>
      </c>
      <c r="E97" s="530">
        <f t="shared" si="28"/>
        <v>1054000</v>
      </c>
      <c r="F97" s="530">
        <f t="shared" si="28"/>
        <v>0</v>
      </c>
      <c r="G97" s="530">
        <f t="shared" si="28"/>
        <v>74000</v>
      </c>
      <c r="H97" s="530">
        <f t="shared" si="28"/>
        <v>320000</v>
      </c>
      <c r="I97" s="530">
        <f t="shared" si="28"/>
        <v>660000</v>
      </c>
      <c r="J97" s="530">
        <f t="shared" si="28"/>
        <v>0</v>
      </c>
      <c r="K97" s="588"/>
      <c r="L97" s="926" t="s">
        <v>449</v>
      </c>
      <c r="M97" s="515"/>
    </row>
    <row r="98" spans="1:13" s="516" customFormat="1" ht="22.5" customHeight="1" thickBot="1">
      <c r="A98" s="912" t="s">
        <v>554</v>
      </c>
      <c r="B98" s="913"/>
      <c r="C98" s="913"/>
      <c r="D98" s="656">
        <f aca="true" t="shared" si="29" ref="D98:J98">SUM(D99:D101)</f>
        <v>3739000</v>
      </c>
      <c r="E98" s="656">
        <f t="shared" si="29"/>
        <v>1054000</v>
      </c>
      <c r="F98" s="656">
        <f t="shared" si="29"/>
        <v>0</v>
      </c>
      <c r="G98" s="656">
        <f t="shared" si="29"/>
        <v>74000</v>
      </c>
      <c r="H98" s="656">
        <f t="shared" si="29"/>
        <v>320000</v>
      </c>
      <c r="I98" s="656">
        <f t="shared" si="29"/>
        <v>660000</v>
      </c>
      <c r="J98" s="656">
        <f t="shared" si="29"/>
        <v>0</v>
      </c>
      <c r="K98" s="657"/>
      <c r="L98" s="919"/>
      <c r="M98" s="515"/>
    </row>
    <row r="99" spans="1:13" s="516" customFormat="1" ht="23.25" customHeight="1" thickTop="1">
      <c r="A99" s="665" t="s">
        <v>713</v>
      </c>
      <c r="B99" s="654" t="s">
        <v>523</v>
      </c>
      <c r="C99" s="666" t="s">
        <v>524</v>
      </c>
      <c r="D99" s="536">
        <f>1300000+800000</f>
        <v>2100000</v>
      </c>
      <c r="E99" s="536">
        <f>SUM(F99,G99,H99,I99)</f>
        <v>1015000</v>
      </c>
      <c r="F99" s="536"/>
      <c r="G99" s="536">
        <v>35000</v>
      </c>
      <c r="H99" s="536">
        <v>320000</v>
      </c>
      <c r="I99" s="536">
        <f>330000+330000</f>
        <v>660000</v>
      </c>
      <c r="J99" s="536"/>
      <c r="K99" s="536"/>
      <c r="L99" s="920"/>
      <c r="M99" s="515"/>
    </row>
    <row r="100" spans="1:13" s="516" customFormat="1" ht="23.25" customHeight="1">
      <c r="A100" s="565" t="s">
        <v>714</v>
      </c>
      <c r="B100" s="585" t="s">
        <v>702</v>
      </c>
      <c r="C100" s="564">
        <v>2008</v>
      </c>
      <c r="D100" s="521">
        <f>E100</f>
        <v>30000</v>
      </c>
      <c r="E100" s="521">
        <f>SUM(F100,G100,H100,I100)</f>
        <v>30000</v>
      </c>
      <c r="F100" s="521"/>
      <c r="G100" s="521">
        <v>30000</v>
      </c>
      <c r="H100" s="521"/>
      <c r="I100" s="521"/>
      <c r="J100" s="521"/>
      <c r="K100" s="521"/>
      <c r="L100" s="920"/>
      <c r="M100" s="515"/>
    </row>
    <row r="101" spans="1:13" s="516" customFormat="1" ht="23.25" customHeight="1" thickBot="1">
      <c r="A101" s="565" t="s">
        <v>715</v>
      </c>
      <c r="B101" s="585" t="s">
        <v>701</v>
      </c>
      <c r="C101" s="564" t="s">
        <v>546</v>
      </c>
      <c r="D101" s="521">
        <v>1609000</v>
      </c>
      <c r="E101" s="521">
        <f>SUM(F101,G101,H101,I101)</f>
        <v>9000</v>
      </c>
      <c r="F101" s="521"/>
      <c r="G101" s="521">
        <v>9000</v>
      </c>
      <c r="H101" s="521"/>
      <c r="I101" s="521"/>
      <c r="J101" s="521"/>
      <c r="K101" s="521"/>
      <c r="L101" s="921"/>
      <c r="M101" s="515"/>
    </row>
    <row r="102" spans="1:13" s="516" customFormat="1" ht="22.5" customHeight="1" thickBot="1">
      <c r="A102" s="586"/>
      <c r="B102" s="938" t="s">
        <v>459</v>
      </c>
      <c r="C102" s="939"/>
      <c r="D102" s="587">
        <f aca="true" t="shared" si="30" ref="D102:I102">D91+D66+D63+D57+D46+D40+D23+D9+D76+D53+D97+D50</f>
        <v>25709200</v>
      </c>
      <c r="E102" s="587">
        <f t="shared" si="30"/>
        <v>14112200</v>
      </c>
      <c r="F102" s="587">
        <f t="shared" si="30"/>
        <v>7395000</v>
      </c>
      <c r="G102" s="587">
        <f t="shared" si="30"/>
        <v>1997439</v>
      </c>
      <c r="H102" s="587">
        <f t="shared" si="30"/>
        <v>2502500</v>
      </c>
      <c r="I102" s="587">
        <f t="shared" si="30"/>
        <v>2217261</v>
      </c>
      <c r="J102" s="587">
        <f>J91+J66+J63+J57+J46+J40+J23+J9+J76+J53+J97</f>
        <v>0</v>
      </c>
      <c r="K102" s="587"/>
      <c r="L102" s="588"/>
      <c r="M102" s="515"/>
    </row>
    <row r="103" spans="1:12" s="591" customFormat="1" ht="14.25" customHeight="1">
      <c r="A103" s="589"/>
      <c r="B103" s="500"/>
      <c r="C103" s="500"/>
      <c r="D103" s="501"/>
      <c r="E103" s="501"/>
      <c r="F103" s="500"/>
      <c r="G103" s="500"/>
      <c r="H103" s="501"/>
      <c r="I103" s="500"/>
      <c r="J103" s="500"/>
      <c r="K103" s="500"/>
      <c r="L103" s="590"/>
    </row>
    <row r="104" ht="18.75" customHeight="1">
      <c r="E104" s="593"/>
    </row>
    <row r="105" spans="5:11" ht="18.75" customHeight="1">
      <c r="E105" s="593"/>
      <c r="I105" s="594"/>
      <c r="K105" s="595"/>
    </row>
    <row r="107" ht="18.75" customHeight="1">
      <c r="K107" s="596"/>
    </row>
  </sheetData>
  <mergeCells count="101">
    <mergeCell ref="I87:I89"/>
    <mergeCell ref="A97:C97"/>
    <mergeCell ref="A98:C98"/>
    <mergeCell ref="L97:L101"/>
    <mergeCell ref="A91:C91"/>
    <mergeCell ref="L93:L94"/>
    <mergeCell ref="A82:C82"/>
    <mergeCell ref="A77:C77"/>
    <mergeCell ref="A85:A89"/>
    <mergeCell ref="B85:B89"/>
    <mergeCell ref="C85:C89"/>
    <mergeCell ref="A79:C79"/>
    <mergeCell ref="L48:L49"/>
    <mergeCell ref="L54:L56"/>
    <mergeCell ref="L11:L16"/>
    <mergeCell ref="L20:L22"/>
    <mergeCell ref="L33:L37"/>
    <mergeCell ref="L42:L44"/>
    <mergeCell ref="A46:C46"/>
    <mergeCell ref="A53:C53"/>
    <mergeCell ref="A76:C76"/>
    <mergeCell ref="A50:C50"/>
    <mergeCell ref="A51:C51"/>
    <mergeCell ref="A67:C67"/>
    <mergeCell ref="A70:A74"/>
    <mergeCell ref="B70:B74"/>
    <mergeCell ref="C70:C74"/>
    <mergeCell ref="A9:C9"/>
    <mergeCell ref="A10:C10"/>
    <mergeCell ref="A23:C23"/>
    <mergeCell ref="A20:C20"/>
    <mergeCell ref="A24:C24"/>
    <mergeCell ref="D3:D7"/>
    <mergeCell ref="B3:B7"/>
    <mergeCell ref="G4:I4"/>
    <mergeCell ref="E3:E7"/>
    <mergeCell ref="G5:G7"/>
    <mergeCell ref="H5:H7"/>
    <mergeCell ref="F4:F7"/>
    <mergeCell ref="C3:C7"/>
    <mergeCell ref="F3:I3"/>
    <mergeCell ref="K5:K7"/>
    <mergeCell ref="B102:C102"/>
    <mergeCell ref="A95:C95"/>
    <mergeCell ref="A64:C64"/>
    <mergeCell ref="A57:C57"/>
    <mergeCell ref="A60:C60"/>
    <mergeCell ref="A63:C63"/>
    <mergeCell ref="A92:C92"/>
    <mergeCell ref="A33:A37"/>
    <mergeCell ref="B33:B37"/>
    <mergeCell ref="A1:L1"/>
    <mergeCell ref="L66:L68"/>
    <mergeCell ref="L63:L65"/>
    <mergeCell ref="I5:I7"/>
    <mergeCell ref="L3:L7"/>
    <mergeCell ref="A47:C47"/>
    <mergeCell ref="A66:C66"/>
    <mergeCell ref="A3:A7"/>
    <mergeCell ref="A40:C40"/>
    <mergeCell ref="A41:C41"/>
    <mergeCell ref="C33:C37"/>
    <mergeCell ref="D33:D37"/>
    <mergeCell ref="E33:E37"/>
    <mergeCell ref="F33:I33"/>
    <mergeCell ref="F34:F37"/>
    <mergeCell ref="G34:I34"/>
    <mergeCell ref="G35:G37"/>
    <mergeCell ref="H35:H37"/>
    <mergeCell ref="I35:I37"/>
    <mergeCell ref="K35:K37"/>
    <mergeCell ref="D85:D89"/>
    <mergeCell ref="K87:K89"/>
    <mergeCell ref="L85:L89"/>
    <mergeCell ref="E85:E89"/>
    <mergeCell ref="F85:I85"/>
    <mergeCell ref="F86:F89"/>
    <mergeCell ref="G86:I86"/>
    <mergeCell ref="G87:G89"/>
    <mergeCell ref="H87:H89"/>
    <mergeCell ref="D70:D74"/>
    <mergeCell ref="K72:K74"/>
    <mergeCell ref="L60:L62"/>
    <mergeCell ref="L79:L81"/>
    <mergeCell ref="K80:K81"/>
    <mergeCell ref="G71:I71"/>
    <mergeCell ref="G72:G74"/>
    <mergeCell ref="H72:H74"/>
    <mergeCell ref="I72:I74"/>
    <mergeCell ref="K51:K52"/>
    <mergeCell ref="L51:L52"/>
    <mergeCell ref="A58:C58"/>
    <mergeCell ref="L58:L59"/>
    <mergeCell ref="A54:C54"/>
    <mergeCell ref="K58:K59"/>
    <mergeCell ref="L82:L83"/>
    <mergeCell ref="L77:L78"/>
    <mergeCell ref="E70:E74"/>
    <mergeCell ref="F70:I70"/>
    <mergeCell ref="L70:L74"/>
    <mergeCell ref="F71:F74"/>
  </mergeCells>
  <printOptions/>
  <pageMargins left="0.1968503937007874" right="0.15748031496062992" top="0.75" bottom="0.31496062992125984" header="0.11811023622047245" footer="0.11811023622047245"/>
  <pageSetup horizontalDpi="300" verticalDpi="300" orientation="landscape" paperSize="9" scale="85" r:id="rId1"/>
  <headerFooter alignWithMargins="0">
    <oddHeader>&amp;R&amp;"Arial CE,Pogrubiony"Załącznik Nr &amp;A&amp;"Arial CE,Standardowy"
&amp;9do Uchwały Rady Gminy
Miłkowice Nr  XXI/102/2008
z dnia 12 lutego 2008 roku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/>
  <dimension ref="A1:L215"/>
  <sheetViews>
    <sheetView zoomScale="83" zoomScaleNormal="83" workbookViewId="0" topLeftCell="A88">
      <selection activeCell="C219" sqref="C219"/>
    </sheetView>
  </sheetViews>
  <sheetFormatPr defaultColWidth="9.00390625" defaultRowHeight="18.75" customHeight="1"/>
  <cols>
    <col min="1" max="1" width="18.875" style="160" customWidth="1"/>
    <col min="2" max="2" width="34.375" style="160" customWidth="1"/>
    <col min="3" max="3" width="13.375" style="160" customWidth="1"/>
    <col min="4" max="4" width="11.00390625" style="160" customWidth="1"/>
    <col min="5" max="5" width="24.00390625" style="161" customWidth="1"/>
    <col min="6" max="6" width="14.25390625" style="160" bestFit="1" customWidth="1"/>
    <col min="7" max="7" width="12.75390625" style="160" customWidth="1"/>
    <col min="8" max="9" width="12.25390625" style="160" customWidth="1"/>
    <col min="10" max="10" width="11.375" style="160" hidden="1" customWidth="1"/>
    <col min="11" max="11" width="4.125" style="160" customWidth="1"/>
    <col min="12" max="16384" width="6.75390625" style="160" customWidth="1"/>
  </cols>
  <sheetData>
    <row r="1" spans="1:11" s="155" customFormat="1" ht="21" customHeight="1">
      <c r="A1" s="1026" t="s">
        <v>659</v>
      </c>
      <c r="B1" s="1026"/>
      <c r="C1" s="1026"/>
      <c r="D1" s="1026"/>
      <c r="E1" s="1026"/>
      <c r="F1" s="1026"/>
      <c r="G1" s="1026"/>
      <c r="H1" s="1026"/>
      <c r="I1" s="1026"/>
      <c r="J1" s="239"/>
      <c r="K1" s="162"/>
    </row>
    <row r="2" spans="1:11" s="155" customFormat="1" ht="15.7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162"/>
    </row>
    <row r="3" spans="2:11" s="156" customFormat="1" ht="12" customHeight="1" thickBot="1">
      <c r="B3" s="159"/>
      <c r="C3" s="9"/>
      <c r="E3" s="159"/>
      <c r="I3" s="9" t="s">
        <v>95</v>
      </c>
      <c r="K3" s="157"/>
    </row>
    <row r="4" spans="1:11" s="158" customFormat="1" ht="14.25" customHeight="1">
      <c r="A4" s="1041" t="s">
        <v>596</v>
      </c>
      <c r="B4" s="1043" t="s">
        <v>146</v>
      </c>
      <c r="C4" s="1039" t="s">
        <v>623</v>
      </c>
      <c r="D4" s="1041" t="s">
        <v>597</v>
      </c>
      <c r="E4" s="1035" t="s">
        <v>598</v>
      </c>
      <c r="F4" s="1036"/>
      <c r="G4" s="1027" t="s">
        <v>610</v>
      </c>
      <c r="H4" s="1028"/>
      <c r="I4" s="1029"/>
      <c r="J4" s="214"/>
      <c r="K4" s="157"/>
    </row>
    <row r="5" spans="1:11" s="158" customFormat="1" ht="14.25" customHeight="1">
      <c r="A5" s="988"/>
      <c r="B5" s="982"/>
      <c r="C5" s="985"/>
      <c r="D5" s="988"/>
      <c r="E5" s="969"/>
      <c r="F5" s="970"/>
      <c r="G5" s="976"/>
      <c r="H5" s="977"/>
      <c r="I5" s="1030"/>
      <c r="J5" s="350"/>
      <c r="K5" s="157"/>
    </row>
    <row r="6" spans="1:11" s="158" customFormat="1" ht="17.25" customHeight="1">
      <c r="A6" s="988"/>
      <c r="B6" s="982"/>
      <c r="C6" s="985"/>
      <c r="D6" s="988"/>
      <c r="E6" s="969"/>
      <c r="F6" s="970"/>
      <c r="G6" s="979" t="s">
        <v>609</v>
      </c>
      <c r="H6" s="979" t="s">
        <v>415</v>
      </c>
      <c r="I6" s="984" t="s">
        <v>495</v>
      </c>
      <c r="J6" s="351" t="s">
        <v>497</v>
      </c>
      <c r="K6" s="157"/>
    </row>
    <row r="7" spans="1:11" s="158" customFormat="1" ht="9" customHeight="1" thickBot="1">
      <c r="A7" s="1042"/>
      <c r="B7" s="1044"/>
      <c r="C7" s="1021"/>
      <c r="D7" s="1042"/>
      <c r="E7" s="1037"/>
      <c r="F7" s="1038"/>
      <c r="G7" s="1031"/>
      <c r="H7" s="1031"/>
      <c r="I7" s="1021"/>
      <c r="J7" s="352"/>
      <c r="K7" s="157"/>
    </row>
    <row r="8" spans="1:11" s="171" customFormat="1" ht="9" customHeight="1">
      <c r="A8" s="355">
        <v>1</v>
      </c>
      <c r="B8" s="355">
        <v>2</v>
      </c>
      <c r="C8" s="356">
        <v>3</v>
      </c>
      <c r="D8" s="355">
        <v>4</v>
      </c>
      <c r="E8" s="1040">
        <v>5</v>
      </c>
      <c r="F8" s="1040"/>
      <c r="G8" s="357">
        <v>6</v>
      </c>
      <c r="H8" s="357">
        <v>7</v>
      </c>
      <c r="I8" s="357">
        <v>8</v>
      </c>
      <c r="J8" s="237">
        <v>10</v>
      </c>
      <c r="K8" s="170"/>
    </row>
    <row r="9" spans="1:11" s="165" customFormat="1" ht="21" customHeight="1">
      <c r="A9" s="1010" t="s">
        <v>226</v>
      </c>
      <c r="B9" s="990" t="s">
        <v>499</v>
      </c>
      <c r="C9" s="993" t="s">
        <v>500</v>
      </c>
      <c r="D9" s="1015" t="s">
        <v>448</v>
      </c>
      <c r="E9" s="363" t="s">
        <v>604</v>
      </c>
      <c r="F9" s="348">
        <f>SUM(F10:F13)</f>
        <v>5040000</v>
      </c>
      <c r="G9" s="168">
        <f>SUM(G10:G13)</f>
        <v>5026300</v>
      </c>
      <c r="H9" s="168">
        <f>SUM(H10:H13)</f>
        <v>0</v>
      </c>
      <c r="I9" s="168">
        <f>SUM(I10:I13)</f>
        <v>0</v>
      </c>
      <c r="J9" s="325"/>
      <c r="K9" s="164"/>
    </row>
    <row r="10" spans="1:11" s="165" customFormat="1" ht="15" customHeight="1">
      <c r="A10" s="1011"/>
      <c r="B10" s="991"/>
      <c r="C10" s="994"/>
      <c r="D10" s="1016"/>
      <c r="E10" s="338" t="s">
        <v>605</v>
      </c>
      <c r="F10" s="169">
        <f>G10+H10+I10</f>
        <v>4250000</v>
      </c>
      <c r="G10" s="166">
        <v>4250000</v>
      </c>
      <c r="H10" s="166"/>
      <c r="I10" s="166"/>
      <c r="J10" s="325"/>
      <c r="K10" s="164"/>
    </row>
    <row r="11" spans="1:11" s="165" customFormat="1" ht="15" customHeight="1">
      <c r="A11" s="1011"/>
      <c r="B11" s="991"/>
      <c r="C11" s="994"/>
      <c r="D11" s="1016"/>
      <c r="E11" s="338" t="s">
        <v>606</v>
      </c>
      <c r="F11" s="169">
        <f>G11+H11+I11+13700</f>
        <v>265000</v>
      </c>
      <c r="G11" s="166">
        <v>251300</v>
      </c>
      <c r="H11" s="166"/>
      <c r="I11" s="166"/>
      <c r="J11" s="325"/>
      <c r="K11" s="164"/>
    </row>
    <row r="12" spans="1:11" s="165" customFormat="1" ht="15" customHeight="1">
      <c r="A12" s="1011"/>
      <c r="B12" s="991"/>
      <c r="C12" s="994"/>
      <c r="D12" s="1016"/>
      <c r="E12" s="338" t="s">
        <v>607</v>
      </c>
      <c r="F12" s="169">
        <f>G12+H12+I12</f>
        <v>275000</v>
      </c>
      <c r="G12" s="166">
        <v>275000</v>
      </c>
      <c r="H12" s="166"/>
      <c r="I12" s="166"/>
      <c r="J12" s="325"/>
      <c r="K12" s="164"/>
    </row>
    <row r="13" spans="1:11" s="165" customFormat="1" ht="15" customHeight="1">
      <c r="A13" s="1011"/>
      <c r="B13" s="992"/>
      <c r="C13" s="995"/>
      <c r="D13" s="1017"/>
      <c r="E13" s="340" t="s">
        <v>608</v>
      </c>
      <c r="F13" s="347">
        <f>G13+H13+I13</f>
        <v>250000</v>
      </c>
      <c r="G13" s="354">
        <v>250000</v>
      </c>
      <c r="H13" s="354"/>
      <c r="I13" s="354"/>
      <c r="J13" s="325"/>
      <c r="K13" s="164"/>
    </row>
    <row r="14" spans="1:11" s="165" customFormat="1" ht="21" customHeight="1">
      <c r="A14" s="1011"/>
      <c r="B14" s="991" t="s">
        <v>501</v>
      </c>
      <c r="C14" s="993" t="s">
        <v>500</v>
      </c>
      <c r="D14" s="1016" t="s">
        <v>506</v>
      </c>
      <c r="E14" s="363" t="s">
        <v>604</v>
      </c>
      <c r="F14" s="348">
        <f>SUM(F15:F18)</f>
        <v>5107000</v>
      </c>
      <c r="G14" s="168">
        <f>SUM(G15:G18)</f>
        <v>105200</v>
      </c>
      <c r="H14" s="168">
        <f>SUM(H15:H18)</f>
        <v>5000000</v>
      </c>
      <c r="I14" s="168">
        <f>SUM(I15:I18)</f>
        <v>0</v>
      </c>
      <c r="J14" s="325"/>
      <c r="K14" s="164"/>
    </row>
    <row r="15" spans="1:11" s="165" customFormat="1" ht="15" customHeight="1">
      <c r="A15" s="1011"/>
      <c r="B15" s="991"/>
      <c r="C15" s="994"/>
      <c r="D15" s="1016"/>
      <c r="E15" s="327" t="s">
        <v>605</v>
      </c>
      <c r="F15" s="169">
        <f>G15+H15+I15</f>
        <v>4335000</v>
      </c>
      <c r="G15" s="166"/>
      <c r="H15" s="166">
        <f>4250000+85000</f>
        <v>4335000</v>
      </c>
      <c r="I15" s="166"/>
      <c r="J15" s="325"/>
      <c r="K15" s="164"/>
    </row>
    <row r="16" spans="1:11" s="165" customFormat="1" ht="15" customHeight="1">
      <c r="A16" s="1011"/>
      <c r="B16" s="991"/>
      <c r="C16" s="994"/>
      <c r="D16" s="1016"/>
      <c r="E16" s="327" t="s">
        <v>606</v>
      </c>
      <c r="F16" s="169">
        <f>G16+H16+I16+1800</f>
        <v>272000</v>
      </c>
      <c r="G16" s="166">
        <v>105200</v>
      </c>
      <c r="H16" s="166">
        <v>165000</v>
      </c>
      <c r="I16" s="166"/>
      <c r="J16" s="325"/>
      <c r="K16" s="164"/>
    </row>
    <row r="17" spans="1:11" s="165" customFormat="1" ht="15" customHeight="1">
      <c r="A17" s="1011"/>
      <c r="B17" s="991"/>
      <c r="C17" s="994"/>
      <c r="D17" s="1016"/>
      <c r="E17" s="327" t="s">
        <v>607</v>
      </c>
      <c r="F17" s="169">
        <f>G17+H17+I17</f>
        <v>250000</v>
      </c>
      <c r="G17" s="166"/>
      <c r="H17" s="166">
        <v>250000</v>
      </c>
      <c r="I17" s="166"/>
      <c r="J17" s="325"/>
      <c r="K17" s="164"/>
    </row>
    <row r="18" spans="1:11" s="165" customFormat="1" ht="15" customHeight="1">
      <c r="A18" s="1011"/>
      <c r="B18" s="992"/>
      <c r="C18" s="995"/>
      <c r="D18" s="1017"/>
      <c r="E18" s="344" t="s">
        <v>608</v>
      </c>
      <c r="F18" s="347">
        <f>G18+H18+I18</f>
        <v>250000</v>
      </c>
      <c r="G18" s="354"/>
      <c r="H18" s="354">
        <v>250000</v>
      </c>
      <c r="I18" s="354"/>
      <c r="J18" s="325"/>
      <c r="K18" s="164"/>
    </row>
    <row r="19" spans="1:11" s="165" customFormat="1" ht="30.75" customHeight="1">
      <c r="A19" s="1011"/>
      <c r="B19" s="990" t="s">
        <v>502</v>
      </c>
      <c r="C19" s="993" t="s">
        <v>500</v>
      </c>
      <c r="D19" s="1015" t="s">
        <v>448</v>
      </c>
      <c r="E19" s="362" t="s">
        <v>604</v>
      </c>
      <c r="F19" s="348">
        <f>SUM(F20:F23)</f>
        <v>936600</v>
      </c>
      <c r="G19" s="168">
        <f>SUM(G20:G23)</f>
        <v>177500</v>
      </c>
      <c r="H19" s="348">
        <f>SUM(H20:H23)</f>
        <v>0</v>
      </c>
      <c r="I19" s="168">
        <f>SUM(I20:I23)</f>
        <v>0</v>
      </c>
      <c r="J19" s="325"/>
      <c r="K19" s="164"/>
    </row>
    <row r="20" spans="1:11" s="165" customFormat="1" ht="15" customHeight="1">
      <c r="A20" s="1011"/>
      <c r="B20" s="991"/>
      <c r="C20" s="994"/>
      <c r="D20" s="1016"/>
      <c r="E20" s="345" t="s">
        <v>605</v>
      </c>
      <c r="F20" s="169">
        <f>G20+H20+I20+H20</f>
        <v>0</v>
      </c>
      <c r="G20" s="166"/>
      <c r="H20" s="169"/>
      <c r="I20" s="166"/>
      <c r="J20" s="325"/>
      <c r="K20" s="164"/>
    </row>
    <row r="21" spans="1:11" s="165" customFormat="1" ht="15" customHeight="1">
      <c r="A21" s="1011"/>
      <c r="B21" s="991"/>
      <c r="C21" s="994"/>
      <c r="D21" s="1016"/>
      <c r="E21" s="345" t="s">
        <v>606</v>
      </c>
      <c r="F21" s="169">
        <f>G21+H21+I21+H21+44600</f>
        <v>52100</v>
      </c>
      <c r="G21" s="166">
        <v>7500</v>
      </c>
      <c r="H21" s="169"/>
      <c r="I21" s="166"/>
      <c r="J21" s="325"/>
      <c r="K21" s="164"/>
    </row>
    <row r="22" spans="1:11" s="165" customFormat="1" ht="15" customHeight="1">
      <c r="A22" s="1011"/>
      <c r="B22" s="991"/>
      <c r="C22" s="994"/>
      <c r="D22" s="1016"/>
      <c r="E22" s="345" t="s">
        <v>607</v>
      </c>
      <c r="F22" s="169">
        <f>G22+H22+I22+H22+528300</f>
        <v>655800</v>
      </c>
      <c r="G22" s="166">
        <v>127500</v>
      </c>
      <c r="H22" s="169"/>
      <c r="I22" s="166"/>
      <c r="J22" s="325"/>
      <c r="K22" s="164"/>
    </row>
    <row r="23" spans="1:11" s="165" customFormat="1" ht="15" customHeight="1">
      <c r="A23" s="1011"/>
      <c r="B23" s="992"/>
      <c r="C23" s="995"/>
      <c r="D23" s="1017"/>
      <c r="E23" s="346" t="s">
        <v>608</v>
      </c>
      <c r="F23" s="341">
        <f>G23+H23+I23+H23+186200</f>
        <v>228700</v>
      </c>
      <c r="G23" s="354">
        <v>42500</v>
      </c>
      <c r="H23" s="169"/>
      <c r="I23" s="354"/>
      <c r="J23" s="325"/>
      <c r="K23" s="164"/>
    </row>
    <row r="24" spans="1:11" s="165" customFormat="1" ht="20.25" customHeight="1">
      <c r="A24" s="1011"/>
      <c r="B24" s="991" t="s">
        <v>586</v>
      </c>
      <c r="C24" s="994" t="s">
        <v>500</v>
      </c>
      <c r="D24" s="1015" t="s">
        <v>448</v>
      </c>
      <c r="E24" s="363" t="s">
        <v>604</v>
      </c>
      <c r="F24" s="348">
        <f>SUM(F25:F28)</f>
        <v>222000</v>
      </c>
      <c r="G24" s="168">
        <f>SUM(G25:G28)</f>
        <v>218300</v>
      </c>
      <c r="H24" s="168">
        <f>SUM(H25:H28)</f>
        <v>0</v>
      </c>
      <c r="I24" s="168">
        <f>SUM(I25:I28)</f>
        <v>0</v>
      </c>
      <c r="J24" s="325"/>
      <c r="K24" s="164"/>
    </row>
    <row r="25" spans="1:11" s="165" customFormat="1" ht="15" customHeight="1">
      <c r="A25" s="1011"/>
      <c r="B25" s="991"/>
      <c r="C25" s="994"/>
      <c r="D25" s="1016"/>
      <c r="E25" s="338" t="s">
        <v>605</v>
      </c>
      <c r="F25" s="169">
        <f>G25+H25+I25</f>
        <v>0</v>
      </c>
      <c r="G25" s="166"/>
      <c r="H25" s="166"/>
      <c r="I25" s="166"/>
      <c r="J25" s="325"/>
      <c r="K25" s="164"/>
    </row>
    <row r="26" spans="1:11" s="165" customFormat="1" ht="15" customHeight="1">
      <c r="A26" s="1011"/>
      <c r="B26" s="991"/>
      <c r="C26" s="994"/>
      <c r="D26" s="1016"/>
      <c r="E26" s="338" t="s">
        <v>606</v>
      </c>
      <c r="F26" s="169">
        <f>G26+H26+I26+3700</f>
        <v>22000</v>
      </c>
      <c r="G26" s="166">
        <v>18300</v>
      </c>
      <c r="H26" s="166"/>
      <c r="I26" s="166"/>
      <c r="J26" s="325"/>
      <c r="K26" s="164"/>
    </row>
    <row r="27" spans="1:11" s="165" customFormat="1" ht="15" customHeight="1">
      <c r="A27" s="1011"/>
      <c r="B27" s="991"/>
      <c r="C27" s="994"/>
      <c r="D27" s="1016"/>
      <c r="E27" s="338" t="s">
        <v>607</v>
      </c>
      <c r="F27" s="169">
        <f>G27+H27+I27</f>
        <v>150000</v>
      </c>
      <c r="G27" s="166">
        <v>150000</v>
      </c>
      <c r="H27" s="166"/>
      <c r="I27" s="166"/>
      <c r="J27" s="325"/>
      <c r="K27" s="164"/>
    </row>
    <row r="28" spans="1:11" s="165" customFormat="1" ht="15" customHeight="1">
      <c r="A28" s="1011"/>
      <c r="B28" s="992"/>
      <c r="C28" s="994"/>
      <c r="D28" s="1017"/>
      <c r="E28" s="338" t="s">
        <v>608</v>
      </c>
      <c r="F28" s="169">
        <f>G28+H28+I28</f>
        <v>50000</v>
      </c>
      <c r="G28" s="354">
        <v>50000</v>
      </c>
      <c r="H28" s="354"/>
      <c r="I28" s="354"/>
      <c r="J28" s="325"/>
      <c r="K28" s="164"/>
    </row>
    <row r="29" spans="1:11" s="165" customFormat="1" ht="21" customHeight="1">
      <c r="A29" s="1011"/>
      <c r="B29" s="991" t="s">
        <v>619</v>
      </c>
      <c r="C29" s="993" t="s">
        <v>500</v>
      </c>
      <c r="D29" s="1015" t="s">
        <v>620</v>
      </c>
      <c r="E29" s="363" t="s">
        <v>604</v>
      </c>
      <c r="F29" s="348">
        <f>SUM(F30:F33)</f>
        <v>3000000</v>
      </c>
      <c r="G29" s="168">
        <f>SUM(G30:G33)</f>
        <v>0</v>
      </c>
      <c r="H29" s="225">
        <f>SUM(H30:H33)</f>
        <v>1000000</v>
      </c>
      <c r="I29" s="168">
        <f>SUM(I30:I33)</f>
        <v>1000000</v>
      </c>
      <c r="J29" s="325"/>
      <c r="K29" s="164"/>
    </row>
    <row r="30" spans="1:11" s="165" customFormat="1" ht="15" customHeight="1">
      <c r="A30" s="1011"/>
      <c r="B30" s="991"/>
      <c r="C30" s="994"/>
      <c r="D30" s="1016"/>
      <c r="E30" s="327" t="s">
        <v>605</v>
      </c>
      <c r="F30" s="169">
        <f>G30+H30+I30+H30</f>
        <v>2250000</v>
      </c>
      <c r="G30" s="166"/>
      <c r="H30" s="169">
        <v>750000</v>
      </c>
      <c r="I30" s="166">
        <v>750000</v>
      </c>
      <c r="J30" s="325"/>
      <c r="K30" s="164"/>
    </row>
    <row r="31" spans="1:11" s="165" customFormat="1" ht="15" customHeight="1">
      <c r="A31" s="1011"/>
      <c r="B31" s="991"/>
      <c r="C31" s="994"/>
      <c r="D31" s="1016"/>
      <c r="E31" s="327" t="s">
        <v>606</v>
      </c>
      <c r="F31" s="169">
        <f>G31+H31+I31+H31</f>
        <v>150000</v>
      </c>
      <c r="G31" s="166"/>
      <c r="H31" s="169">
        <v>50000</v>
      </c>
      <c r="I31" s="166">
        <v>50000</v>
      </c>
      <c r="J31" s="325"/>
      <c r="K31" s="164"/>
    </row>
    <row r="32" spans="1:11" s="165" customFormat="1" ht="15" customHeight="1">
      <c r="A32" s="1011"/>
      <c r="B32" s="991"/>
      <c r="C32" s="994"/>
      <c r="D32" s="1016"/>
      <c r="E32" s="327" t="s">
        <v>607</v>
      </c>
      <c r="F32" s="169">
        <f>G32+H32+I32+H32</f>
        <v>450000</v>
      </c>
      <c r="G32" s="166"/>
      <c r="H32" s="169">
        <v>150000</v>
      </c>
      <c r="I32" s="166">
        <v>150000</v>
      </c>
      <c r="J32" s="325"/>
      <c r="K32" s="164"/>
    </row>
    <row r="33" spans="1:11" s="165" customFormat="1" ht="15" customHeight="1">
      <c r="A33" s="1022"/>
      <c r="B33" s="992"/>
      <c r="C33" s="995"/>
      <c r="D33" s="1017"/>
      <c r="E33" s="344" t="s">
        <v>608</v>
      </c>
      <c r="F33" s="347">
        <f>G33+H33+I33+H33</f>
        <v>150000</v>
      </c>
      <c r="G33" s="354"/>
      <c r="H33" s="347">
        <v>50000</v>
      </c>
      <c r="I33" s="354">
        <v>50000</v>
      </c>
      <c r="J33" s="339"/>
      <c r="K33" s="164"/>
    </row>
    <row r="34" spans="1:12" s="155" customFormat="1" ht="15.75" customHeight="1" thickBot="1">
      <c r="A34" s="358"/>
      <c r="B34" s="359"/>
      <c r="C34" s="359"/>
      <c r="D34" s="359"/>
      <c r="E34" s="359"/>
      <c r="F34" s="359"/>
      <c r="G34" s="359"/>
      <c r="H34" s="359"/>
      <c r="I34" s="359"/>
      <c r="J34" s="359"/>
      <c r="K34" s="360"/>
      <c r="L34" s="361"/>
    </row>
    <row r="35" spans="1:11" s="158" customFormat="1" ht="14.25" customHeight="1">
      <c r="A35" s="981" t="s">
        <v>596</v>
      </c>
      <c r="B35" s="981" t="s">
        <v>146</v>
      </c>
      <c r="C35" s="984" t="s">
        <v>623</v>
      </c>
      <c r="D35" s="987" t="s">
        <v>597</v>
      </c>
      <c r="E35" s="967" t="s">
        <v>598</v>
      </c>
      <c r="F35" s="968"/>
      <c r="G35" s="973" t="s">
        <v>610</v>
      </c>
      <c r="H35" s="974"/>
      <c r="I35" s="975"/>
      <c r="J35" s="214"/>
      <c r="K35" s="157"/>
    </row>
    <row r="36" spans="1:11" s="158" customFormat="1" ht="14.25" customHeight="1">
      <c r="A36" s="982"/>
      <c r="B36" s="982"/>
      <c r="C36" s="985"/>
      <c r="D36" s="988"/>
      <c r="E36" s="969"/>
      <c r="F36" s="970"/>
      <c r="G36" s="976"/>
      <c r="H36" s="977"/>
      <c r="I36" s="978"/>
      <c r="J36" s="223"/>
      <c r="K36" s="157"/>
    </row>
    <row r="37" spans="1:11" s="158" customFormat="1" ht="17.25" customHeight="1">
      <c r="A37" s="982"/>
      <c r="B37" s="982"/>
      <c r="C37" s="985"/>
      <c r="D37" s="988"/>
      <c r="E37" s="969"/>
      <c r="F37" s="970"/>
      <c r="G37" s="979" t="s">
        <v>609</v>
      </c>
      <c r="H37" s="979" t="s">
        <v>415</v>
      </c>
      <c r="I37" s="979" t="s">
        <v>495</v>
      </c>
      <c r="J37" s="212" t="s">
        <v>497</v>
      </c>
      <c r="K37" s="157"/>
    </row>
    <row r="38" spans="1:11" s="158" customFormat="1" ht="9" customHeight="1">
      <c r="A38" s="983"/>
      <c r="B38" s="983"/>
      <c r="C38" s="986"/>
      <c r="D38" s="989"/>
      <c r="E38" s="971"/>
      <c r="F38" s="972"/>
      <c r="G38" s="980"/>
      <c r="H38" s="980"/>
      <c r="I38" s="980"/>
      <c r="J38" s="213"/>
      <c r="K38" s="157"/>
    </row>
    <row r="39" spans="1:11" s="171" customFormat="1" ht="10.5" customHeight="1">
      <c r="A39" s="342">
        <v>1</v>
      </c>
      <c r="B39" s="342">
        <v>2</v>
      </c>
      <c r="C39" s="343">
        <v>3</v>
      </c>
      <c r="D39" s="342">
        <v>4</v>
      </c>
      <c r="E39" s="966">
        <v>5</v>
      </c>
      <c r="F39" s="966"/>
      <c r="G39" s="343">
        <v>6</v>
      </c>
      <c r="H39" s="343">
        <v>7</v>
      </c>
      <c r="I39" s="343">
        <v>8</v>
      </c>
      <c r="J39" s="357">
        <v>10</v>
      </c>
      <c r="K39" s="170"/>
    </row>
    <row r="40" spans="1:11" s="165" customFormat="1" ht="21" customHeight="1">
      <c r="A40" s="1023" t="s">
        <v>226</v>
      </c>
      <c r="B40" s="990" t="s">
        <v>587</v>
      </c>
      <c r="C40" s="993" t="s">
        <v>500</v>
      </c>
      <c r="D40" s="1015" t="s">
        <v>506</v>
      </c>
      <c r="E40" s="362" t="s">
        <v>604</v>
      </c>
      <c r="F40" s="364">
        <f>SUM(F41:F44)</f>
        <v>526000</v>
      </c>
      <c r="G40" s="168">
        <f>SUM(G41:G44)</f>
        <v>362000</v>
      </c>
      <c r="H40" s="348">
        <f>SUM(H41:H44)</f>
        <v>90000</v>
      </c>
      <c r="I40" s="168">
        <f>SUM(I41:I44)</f>
        <v>0</v>
      </c>
      <c r="J40" s="325"/>
      <c r="K40" s="164"/>
    </row>
    <row r="41" spans="1:11" s="165" customFormat="1" ht="15" customHeight="1">
      <c r="A41" s="1024"/>
      <c r="B41" s="991"/>
      <c r="C41" s="994"/>
      <c r="D41" s="1016"/>
      <c r="E41" s="345" t="s">
        <v>605</v>
      </c>
      <c r="F41" s="169">
        <f>G41+H41+I41+H41</f>
        <v>0</v>
      </c>
      <c r="G41" s="166"/>
      <c r="H41" s="169"/>
      <c r="I41" s="166"/>
      <c r="J41" s="325"/>
      <c r="K41" s="164"/>
    </row>
    <row r="42" spans="1:11" s="165" customFormat="1" ht="15" customHeight="1">
      <c r="A42" s="1024"/>
      <c r="B42" s="991"/>
      <c r="C42" s="994"/>
      <c r="D42" s="1016"/>
      <c r="E42" s="345" t="s">
        <v>606</v>
      </c>
      <c r="F42" s="169">
        <f>G42+H42+I42+H42+74000</f>
        <v>96000</v>
      </c>
      <c r="G42" s="166">
        <v>22000</v>
      </c>
      <c r="H42" s="169"/>
      <c r="I42" s="166"/>
      <c r="J42" s="325"/>
      <c r="K42" s="164"/>
    </row>
    <row r="43" spans="1:11" s="165" customFormat="1" ht="15" customHeight="1">
      <c r="A43" s="1024"/>
      <c r="B43" s="991"/>
      <c r="C43" s="994"/>
      <c r="D43" s="1016"/>
      <c r="E43" s="345" t="s">
        <v>607</v>
      </c>
      <c r="F43" s="169">
        <f>G43+H43+I43</f>
        <v>430000</v>
      </c>
      <c r="G43" s="166">
        <v>340000</v>
      </c>
      <c r="H43" s="169">
        <v>90000</v>
      </c>
      <c r="I43" s="166"/>
      <c r="J43" s="325"/>
      <c r="K43" s="164"/>
    </row>
    <row r="44" spans="1:11" s="165" customFormat="1" ht="15" customHeight="1">
      <c r="A44" s="1024"/>
      <c r="B44" s="992"/>
      <c r="C44" s="995"/>
      <c r="D44" s="1017"/>
      <c r="E44" s="346" t="s">
        <v>608</v>
      </c>
      <c r="F44" s="169">
        <f>G44+H44+I44+H44</f>
        <v>0</v>
      </c>
      <c r="G44" s="354"/>
      <c r="H44" s="169"/>
      <c r="I44" s="354"/>
      <c r="J44" s="325"/>
      <c r="K44" s="164"/>
    </row>
    <row r="45" spans="1:11" s="165" customFormat="1" ht="21" customHeight="1">
      <c r="A45" s="1024"/>
      <c r="B45" s="990" t="s">
        <v>621</v>
      </c>
      <c r="C45" s="993" t="s">
        <v>500</v>
      </c>
      <c r="D45" s="1015" t="s">
        <v>448</v>
      </c>
      <c r="E45" s="362" t="s">
        <v>604</v>
      </c>
      <c r="F45" s="348">
        <f>SUM(F46:F49)</f>
        <v>1000000</v>
      </c>
      <c r="G45" s="168">
        <f>SUM(G46:G49)</f>
        <v>0</v>
      </c>
      <c r="H45" s="168">
        <f>SUM(H46:H49)</f>
        <v>0</v>
      </c>
      <c r="I45" s="168">
        <f>SUM(I46:I49)</f>
        <v>500000</v>
      </c>
      <c r="J45" s="325"/>
      <c r="K45" s="164"/>
    </row>
    <row r="46" spans="1:11" s="165" customFormat="1" ht="15" customHeight="1">
      <c r="A46" s="1024"/>
      <c r="B46" s="991"/>
      <c r="C46" s="994"/>
      <c r="D46" s="1016"/>
      <c r="E46" s="345" t="s">
        <v>605</v>
      </c>
      <c r="F46" s="169">
        <f>G46+H46+I46</f>
        <v>0</v>
      </c>
      <c r="G46" s="166"/>
      <c r="H46" s="166"/>
      <c r="I46" s="166"/>
      <c r="J46" s="325"/>
      <c r="K46" s="164"/>
    </row>
    <row r="47" spans="1:11" s="165" customFormat="1" ht="15" customHeight="1">
      <c r="A47" s="1024"/>
      <c r="B47" s="991"/>
      <c r="C47" s="994"/>
      <c r="D47" s="1016"/>
      <c r="E47" s="345" t="s">
        <v>606</v>
      </c>
      <c r="F47" s="169">
        <f>G47+H47+I47+I47</f>
        <v>800000</v>
      </c>
      <c r="G47" s="166"/>
      <c r="H47" s="166"/>
      <c r="I47" s="166">
        <v>400000</v>
      </c>
      <c r="J47" s="325"/>
      <c r="K47" s="164"/>
    </row>
    <row r="48" spans="1:11" s="165" customFormat="1" ht="15" customHeight="1">
      <c r="A48" s="1024"/>
      <c r="B48" s="991"/>
      <c r="C48" s="994"/>
      <c r="D48" s="1016"/>
      <c r="E48" s="345" t="s">
        <v>607</v>
      </c>
      <c r="F48" s="169">
        <f>G48+H48+I48+I48</f>
        <v>150000</v>
      </c>
      <c r="G48" s="166"/>
      <c r="H48" s="166"/>
      <c r="I48" s="166">
        <v>75000</v>
      </c>
      <c r="J48" s="325"/>
      <c r="K48" s="164"/>
    </row>
    <row r="49" spans="1:11" s="165" customFormat="1" ht="15" customHeight="1">
      <c r="A49" s="1025"/>
      <c r="B49" s="991"/>
      <c r="C49" s="995"/>
      <c r="D49" s="1017"/>
      <c r="E49" s="346" t="s">
        <v>608</v>
      </c>
      <c r="F49" s="169">
        <f>G49+H49+I49+I49</f>
        <v>50000</v>
      </c>
      <c r="G49" s="354"/>
      <c r="H49" s="354"/>
      <c r="I49" s="354">
        <v>25000</v>
      </c>
      <c r="J49" s="325"/>
      <c r="K49" s="164"/>
    </row>
    <row r="50" spans="1:11" s="165" customFormat="1" ht="20.25" customHeight="1">
      <c r="A50" s="1032" t="s">
        <v>622</v>
      </c>
      <c r="B50" s="990" t="s">
        <v>657</v>
      </c>
      <c r="C50" s="960" t="s">
        <v>500</v>
      </c>
      <c r="D50" s="963">
        <v>2008</v>
      </c>
      <c r="E50" s="362" t="s">
        <v>604</v>
      </c>
      <c r="F50" s="348">
        <f>SUM(F51:F54)</f>
        <v>520000</v>
      </c>
      <c r="G50" s="168">
        <f>SUM(G51:G54)</f>
        <v>520000</v>
      </c>
      <c r="H50" s="348">
        <f>SUM(H51:H54)</f>
        <v>0</v>
      </c>
      <c r="I50" s="168">
        <f>SUM(I51:I54)</f>
        <v>0</v>
      </c>
      <c r="J50" s="339">
        <f>SUM(J51:J54)</f>
        <v>0</v>
      </c>
      <c r="K50" s="164"/>
    </row>
    <row r="51" spans="1:11" s="165" customFormat="1" ht="15" customHeight="1">
      <c r="A51" s="1033"/>
      <c r="B51" s="991"/>
      <c r="C51" s="961"/>
      <c r="D51" s="964"/>
      <c r="E51" s="338" t="s">
        <v>605</v>
      </c>
      <c r="F51" s="169">
        <f>G51+H51+I51</f>
        <v>0</v>
      </c>
      <c r="G51" s="166"/>
      <c r="H51" s="169"/>
      <c r="I51" s="166"/>
      <c r="J51" s="325"/>
      <c r="K51" s="164"/>
    </row>
    <row r="52" spans="1:11" s="165" customFormat="1" ht="15" customHeight="1">
      <c r="A52" s="1033"/>
      <c r="B52" s="991"/>
      <c r="C52" s="961"/>
      <c r="D52" s="964"/>
      <c r="E52" s="338" t="s">
        <v>606</v>
      </c>
      <c r="F52" s="169">
        <f>G52+H52+I52</f>
        <v>170000</v>
      </c>
      <c r="G52" s="166">
        <v>170000</v>
      </c>
      <c r="H52" s="169"/>
      <c r="I52" s="166"/>
      <c r="J52" s="325"/>
      <c r="K52" s="164"/>
    </row>
    <row r="53" spans="1:11" s="165" customFormat="1" ht="15" customHeight="1">
      <c r="A53" s="1033"/>
      <c r="B53" s="991"/>
      <c r="C53" s="961"/>
      <c r="D53" s="964"/>
      <c r="E53" s="338" t="s">
        <v>607</v>
      </c>
      <c r="F53" s="169">
        <f>G53+H53+I53</f>
        <v>200000</v>
      </c>
      <c r="G53" s="166">
        <v>200000</v>
      </c>
      <c r="H53" s="169"/>
      <c r="I53" s="166"/>
      <c r="J53" s="325"/>
      <c r="K53" s="164"/>
    </row>
    <row r="54" spans="1:11" s="165" customFormat="1" ht="15" customHeight="1">
      <c r="A54" s="1034"/>
      <c r="B54" s="992"/>
      <c r="C54" s="961"/>
      <c r="D54" s="965"/>
      <c r="E54" s="340" t="s">
        <v>608</v>
      </c>
      <c r="F54" s="347">
        <f>G54+H54+I54</f>
        <v>150000</v>
      </c>
      <c r="G54" s="354">
        <v>150000</v>
      </c>
      <c r="H54" s="169"/>
      <c r="I54" s="354"/>
      <c r="J54" s="325"/>
      <c r="K54" s="164"/>
    </row>
    <row r="55" spans="1:11" s="165" customFormat="1" ht="21" customHeight="1">
      <c r="A55" s="1010" t="s">
        <v>624</v>
      </c>
      <c r="B55" s="990" t="s">
        <v>577</v>
      </c>
      <c r="C55" s="960" t="s">
        <v>500</v>
      </c>
      <c r="D55" s="963" t="s">
        <v>506</v>
      </c>
      <c r="E55" s="362" t="s">
        <v>604</v>
      </c>
      <c r="F55" s="348">
        <f>SUM(F56:F59)</f>
        <v>507000</v>
      </c>
      <c r="G55" s="168">
        <f>SUM(G56:G59)</f>
        <v>105800</v>
      </c>
      <c r="H55" s="348">
        <f>SUM(H56:H59)</f>
        <v>400000</v>
      </c>
      <c r="I55" s="168">
        <f>SUM(I56:I59)</f>
        <v>0</v>
      </c>
      <c r="J55" s="325"/>
      <c r="K55" s="164"/>
    </row>
    <row r="56" spans="1:11" s="165" customFormat="1" ht="15" customHeight="1">
      <c r="A56" s="1011"/>
      <c r="B56" s="991"/>
      <c r="C56" s="961"/>
      <c r="D56" s="964"/>
      <c r="E56" s="338" t="s">
        <v>605</v>
      </c>
      <c r="F56" s="169">
        <f>G56+H56+I56</f>
        <v>0</v>
      </c>
      <c r="G56" s="166"/>
      <c r="H56" s="169"/>
      <c r="I56" s="166"/>
      <c r="J56" s="325"/>
      <c r="K56" s="164"/>
    </row>
    <row r="57" spans="1:11" s="165" customFormat="1" ht="15" customHeight="1">
      <c r="A57" s="1011"/>
      <c r="B57" s="991"/>
      <c r="C57" s="961"/>
      <c r="D57" s="964"/>
      <c r="E57" s="338" t="s">
        <v>606</v>
      </c>
      <c r="F57" s="169">
        <f>G57+H57+I57+1200</f>
        <v>132000</v>
      </c>
      <c r="G57" s="166">
        <v>30800</v>
      </c>
      <c r="H57" s="169">
        <v>100000</v>
      </c>
      <c r="I57" s="166"/>
      <c r="J57" s="325"/>
      <c r="K57" s="164"/>
    </row>
    <row r="58" spans="1:11" s="165" customFormat="1" ht="15" customHeight="1">
      <c r="A58" s="1011"/>
      <c r="B58" s="991"/>
      <c r="C58" s="961"/>
      <c r="D58" s="964"/>
      <c r="E58" s="338" t="s">
        <v>607</v>
      </c>
      <c r="F58" s="169">
        <f>G58+H58+I58</f>
        <v>375000</v>
      </c>
      <c r="G58" s="166">
        <v>75000</v>
      </c>
      <c r="H58" s="169">
        <v>300000</v>
      </c>
      <c r="I58" s="166"/>
      <c r="J58" s="325"/>
      <c r="K58" s="164"/>
    </row>
    <row r="59" spans="1:11" s="165" customFormat="1" ht="15" customHeight="1">
      <c r="A59" s="1011"/>
      <c r="B59" s="992"/>
      <c r="C59" s="961"/>
      <c r="D59" s="965"/>
      <c r="E59" s="340" t="s">
        <v>608</v>
      </c>
      <c r="F59" s="347">
        <f>G59+H59+I59</f>
        <v>0</v>
      </c>
      <c r="G59" s="354"/>
      <c r="H59" s="169"/>
      <c r="I59" s="354"/>
      <c r="J59" s="325"/>
      <c r="K59" s="164"/>
    </row>
    <row r="60" spans="1:11" s="165" customFormat="1" ht="20.25" customHeight="1">
      <c r="A60" s="1011"/>
      <c r="B60" s="990" t="s">
        <v>705</v>
      </c>
      <c r="C60" s="960" t="s">
        <v>500</v>
      </c>
      <c r="D60" s="963" t="s">
        <v>448</v>
      </c>
      <c r="E60" s="362" t="s">
        <v>604</v>
      </c>
      <c r="F60" s="348">
        <f>SUM(F61:F64)</f>
        <v>500000</v>
      </c>
      <c r="G60" s="168">
        <f>SUM(G61:G64)</f>
        <v>500000</v>
      </c>
      <c r="H60" s="168">
        <f>SUM(H61:H64)</f>
        <v>0</v>
      </c>
      <c r="I60" s="168">
        <f>SUM(I61:I64)</f>
        <v>0</v>
      </c>
      <c r="J60" s="169"/>
      <c r="K60" s="164"/>
    </row>
    <row r="61" spans="1:11" s="165" customFormat="1" ht="15" customHeight="1">
      <c r="A61" s="1011"/>
      <c r="B61" s="991"/>
      <c r="C61" s="961"/>
      <c r="D61" s="964"/>
      <c r="E61" s="338" t="s">
        <v>605</v>
      </c>
      <c r="F61" s="169">
        <f>G61+H61+I61</f>
        <v>0</v>
      </c>
      <c r="G61" s="166"/>
      <c r="H61" s="166"/>
      <c r="I61" s="166"/>
      <c r="J61" s="325"/>
      <c r="K61" s="164"/>
    </row>
    <row r="62" spans="1:11" s="165" customFormat="1" ht="15" customHeight="1">
      <c r="A62" s="1011"/>
      <c r="B62" s="991"/>
      <c r="C62" s="961"/>
      <c r="D62" s="964"/>
      <c r="E62" s="338" t="s">
        <v>606</v>
      </c>
      <c r="F62" s="169">
        <f>G62+H62+I62</f>
        <v>100000</v>
      </c>
      <c r="G62" s="166">
        <v>100000</v>
      </c>
      <c r="H62" s="166"/>
      <c r="I62" s="166"/>
      <c r="J62" s="325"/>
      <c r="K62" s="164"/>
    </row>
    <row r="63" spans="1:11" s="165" customFormat="1" ht="15" customHeight="1">
      <c r="A63" s="1011"/>
      <c r="B63" s="991"/>
      <c r="C63" s="961"/>
      <c r="D63" s="964"/>
      <c r="E63" s="338" t="s">
        <v>607</v>
      </c>
      <c r="F63" s="169">
        <f>G63+H63+I63</f>
        <v>375000</v>
      </c>
      <c r="G63" s="166">
        <v>375000</v>
      </c>
      <c r="H63" s="166"/>
      <c r="I63" s="166"/>
      <c r="J63" s="325"/>
      <c r="K63" s="164"/>
    </row>
    <row r="64" spans="1:11" s="165" customFormat="1" ht="15" customHeight="1">
      <c r="A64" s="1022"/>
      <c r="B64" s="992"/>
      <c r="C64" s="961"/>
      <c r="D64" s="965"/>
      <c r="E64" s="340" t="s">
        <v>608</v>
      </c>
      <c r="F64" s="347">
        <f>G64+H64+I64</f>
        <v>25000</v>
      </c>
      <c r="G64" s="354">
        <v>25000</v>
      </c>
      <c r="H64" s="354"/>
      <c r="I64" s="354"/>
      <c r="J64" s="325"/>
      <c r="K64" s="164"/>
    </row>
    <row r="65" spans="1:11" s="165" customFormat="1" ht="21" customHeight="1">
      <c r="A65" s="1010" t="s">
        <v>625</v>
      </c>
      <c r="B65" s="990" t="s">
        <v>576</v>
      </c>
      <c r="C65" s="1018" t="s">
        <v>449</v>
      </c>
      <c r="D65" s="963" t="s">
        <v>506</v>
      </c>
      <c r="E65" s="362" t="s">
        <v>604</v>
      </c>
      <c r="F65" s="168">
        <f>SUM(F66:F69)</f>
        <v>500000</v>
      </c>
      <c r="G65" s="168">
        <f>SUM(G66:G69)</f>
        <v>230000</v>
      </c>
      <c r="H65" s="168">
        <f>SUM(H66:H69)</f>
        <v>270000</v>
      </c>
      <c r="I65" s="168">
        <f>SUM(I66:I69)</f>
        <v>0</v>
      </c>
      <c r="J65" s="348"/>
      <c r="K65" s="164"/>
    </row>
    <row r="66" spans="1:11" s="165" customFormat="1" ht="15" customHeight="1">
      <c r="A66" s="1011"/>
      <c r="B66" s="991"/>
      <c r="C66" s="1019"/>
      <c r="D66" s="964"/>
      <c r="E66" s="338" t="s">
        <v>605</v>
      </c>
      <c r="F66" s="169">
        <f>G66+H66+I66</f>
        <v>0</v>
      </c>
      <c r="G66" s="166"/>
      <c r="H66" s="166"/>
      <c r="I66" s="166"/>
      <c r="J66" s="325"/>
      <c r="K66" s="164"/>
    </row>
    <row r="67" spans="1:11" s="165" customFormat="1" ht="15" customHeight="1">
      <c r="A67" s="1011"/>
      <c r="B67" s="991"/>
      <c r="C67" s="1019"/>
      <c r="D67" s="964"/>
      <c r="E67" s="338" t="s">
        <v>606</v>
      </c>
      <c r="F67" s="169">
        <f>G67+H67+I67</f>
        <v>5000</v>
      </c>
      <c r="G67" s="166">
        <v>5000</v>
      </c>
      <c r="H67" s="166"/>
      <c r="I67" s="166"/>
      <c r="J67" s="325"/>
      <c r="K67" s="164"/>
    </row>
    <row r="68" spans="1:11" s="165" customFormat="1" ht="15" customHeight="1">
      <c r="A68" s="1011"/>
      <c r="B68" s="991"/>
      <c r="C68" s="1019"/>
      <c r="D68" s="964"/>
      <c r="E68" s="338" t="s">
        <v>607</v>
      </c>
      <c r="F68" s="169">
        <f>G68+H68+I68</f>
        <v>495000</v>
      </c>
      <c r="G68" s="166">
        <v>225000</v>
      </c>
      <c r="H68" s="166">
        <v>270000</v>
      </c>
      <c r="I68" s="166"/>
      <c r="J68" s="325"/>
      <c r="K68" s="164"/>
    </row>
    <row r="69" spans="1:11" s="165" customFormat="1" ht="15" customHeight="1">
      <c r="A69" s="1022"/>
      <c r="B69" s="992"/>
      <c r="C69" s="1020"/>
      <c r="D69" s="965"/>
      <c r="E69" s="340" t="s">
        <v>608</v>
      </c>
      <c r="F69" s="347">
        <f>G69+H69+I69</f>
        <v>0</v>
      </c>
      <c r="G69" s="354"/>
      <c r="H69" s="354"/>
      <c r="I69" s="354"/>
      <c r="J69" s="325"/>
      <c r="K69" s="164"/>
    </row>
    <row r="70" spans="1:12" s="155" customFormat="1" ht="10.5" customHeight="1" thickBot="1">
      <c r="A70" s="358"/>
      <c r="B70" s="359"/>
      <c r="C70" s="359"/>
      <c r="D70" s="359"/>
      <c r="E70" s="359"/>
      <c r="F70" s="359"/>
      <c r="G70" s="359"/>
      <c r="H70" s="359"/>
      <c r="I70" s="359"/>
      <c r="J70" s="359"/>
      <c r="K70" s="360"/>
      <c r="L70" s="361"/>
    </row>
    <row r="71" spans="1:11" s="158" customFormat="1" ht="14.25" customHeight="1">
      <c r="A71" s="981" t="s">
        <v>596</v>
      </c>
      <c r="B71" s="981" t="s">
        <v>146</v>
      </c>
      <c r="C71" s="984" t="s">
        <v>623</v>
      </c>
      <c r="D71" s="987" t="s">
        <v>597</v>
      </c>
      <c r="E71" s="967" t="s">
        <v>598</v>
      </c>
      <c r="F71" s="968"/>
      <c r="G71" s="973" t="s">
        <v>610</v>
      </c>
      <c r="H71" s="974"/>
      <c r="I71" s="975"/>
      <c r="J71" s="214"/>
      <c r="K71" s="157"/>
    </row>
    <row r="72" spans="1:11" s="158" customFormat="1" ht="14.25" customHeight="1">
      <c r="A72" s="982"/>
      <c r="B72" s="982"/>
      <c r="C72" s="985"/>
      <c r="D72" s="988"/>
      <c r="E72" s="969"/>
      <c r="F72" s="970"/>
      <c r="G72" s="976"/>
      <c r="H72" s="977"/>
      <c r="I72" s="978"/>
      <c r="J72" s="223"/>
      <c r="K72" s="157"/>
    </row>
    <row r="73" spans="1:11" s="158" customFormat="1" ht="9.75" customHeight="1">
      <c r="A73" s="982"/>
      <c r="B73" s="982"/>
      <c r="C73" s="985"/>
      <c r="D73" s="988"/>
      <c r="E73" s="969"/>
      <c r="F73" s="970"/>
      <c r="G73" s="979" t="s">
        <v>609</v>
      </c>
      <c r="H73" s="979" t="s">
        <v>415</v>
      </c>
      <c r="I73" s="979" t="s">
        <v>495</v>
      </c>
      <c r="J73" s="212" t="s">
        <v>497</v>
      </c>
      <c r="K73" s="157"/>
    </row>
    <row r="74" spans="1:11" s="158" customFormat="1" ht="9" customHeight="1">
      <c r="A74" s="983"/>
      <c r="B74" s="983"/>
      <c r="C74" s="986"/>
      <c r="D74" s="989"/>
      <c r="E74" s="971"/>
      <c r="F74" s="972"/>
      <c r="G74" s="980"/>
      <c r="H74" s="980"/>
      <c r="I74" s="980"/>
      <c r="J74" s="213"/>
      <c r="K74" s="157"/>
    </row>
    <row r="75" spans="1:11" s="171" customFormat="1" ht="10.5" customHeight="1">
      <c r="A75" s="342">
        <v>1</v>
      </c>
      <c r="B75" s="342">
        <v>2</v>
      </c>
      <c r="C75" s="343">
        <v>3</v>
      </c>
      <c r="D75" s="342">
        <v>4</v>
      </c>
      <c r="E75" s="966">
        <v>5</v>
      </c>
      <c r="F75" s="966"/>
      <c r="G75" s="343">
        <v>6</v>
      </c>
      <c r="H75" s="343">
        <v>7</v>
      </c>
      <c r="I75" s="343">
        <v>8</v>
      </c>
      <c r="J75" s="357">
        <v>10</v>
      </c>
      <c r="K75" s="170"/>
    </row>
    <row r="76" spans="1:11" s="165" customFormat="1" ht="21" customHeight="1">
      <c r="A76" s="1010" t="s">
        <v>625</v>
      </c>
      <c r="B76" s="991" t="s">
        <v>716</v>
      </c>
      <c r="C76" s="1018" t="s">
        <v>449</v>
      </c>
      <c r="D76" s="963">
        <v>2008</v>
      </c>
      <c r="E76" s="362" t="s">
        <v>604</v>
      </c>
      <c r="F76" s="168">
        <f>SUM(F77:F80)</f>
        <v>220000</v>
      </c>
      <c r="G76" s="168">
        <f>SUM(G77:G80)</f>
        <v>220000</v>
      </c>
      <c r="H76" s="168">
        <f>SUM(H77:H80)</f>
        <v>0</v>
      </c>
      <c r="I76" s="168">
        <f>SUM(I77:I80)</f>
        <v>0</v>
      </c>
      <c r="J76" s="348"/>
      <c r="K76" s="164"/>
    </row>
    <row r="77" spans="1:11" s="165" customFormat="1" ht="15" customHeight="1">
      <c r="A77" s="1011"/>
      <c r="B77" s="991"/>
      <c r="C77" s="1019"/>
      <c r="D77" s="964"/>
      <c r="E77" s="338" t="s">
        <v>605</v>
      </c>
      <c r="F77" s="169">
        <f>G77+H77+I77</f>
        <v>0</v>
      </c>
      <c r="G77" s="166"/>
      <c r="H77" s="166"/>
      <c r="I77" s="166"/>
      <c r="J77" s="325"/>
      <c r="K77" s="164"/>
    </row>
    <row r="78" spans="1:11" s="165" customFormat="1" ht="15" customHeight="1">
      <c r="A78" s="1011"/>
      <c r="B78" s="991"/>
      <c r="C78" s="1019"/>
      <c r="D78" s="964"/>
      <c r="E78" s="338" t="s">
        <v>606</v>
      </c>
      <c r="F78" s="169">
        <f>G78+H78+I78</f>
        <v>220000</v>
      </c>
      <c r="G78" s="166">
        <v>220000</v>
      </c>
      <c r="H78" s="166"/>
      <c r="I78" s="166"/>
      <c r="J78" s="325"/>
      <c r="K78" s="164"/>
    </row>
    <row r="79" spans="1:11" s="165" customFormat="1" ht="15" customHeight="1">
      <c r="A79" s="1011"/>
      <c r="B79" s="991"/>
      <c r="C79" s="1019"/>
      <c r="D79" s="964"/>
      <c r="E79" s="338" t="s">
        <v>607</v>
      </c>
      <c r="F79" s="169">
        <f>G79+H79+I79</f>
        <v>0</v>
      </c>
      <c r="G79" s="166"/>
      <c r="H79" s="166"/>
      <c r="I79" s="166"/>
      <c r="J79" s="325"/>
      <c r="K79" s="164"/>
    </row>
    <row r="80" spans="1:11" s="165" customFormat="1" ht="15" customHeight="1">
      <c r="A80" s="1011"/>
      <c r="B80" s="992"/>
      <c r="C80" s="1020"/>
      <c r="D80" s="965"/>
      <c r="E80" s="340" t="s">
        <v>608</v>
      </c>
      <c r="F80" s="347">
        <f>G80+H80+I80</f>
        <v>0</v>
      </c>
      <c r="G80" s="354"/>
      <c r="H80" s="354"/>
      <c r="I80" s="354"/>
      <c r="J80" s="325"/>
      <c r="K80" s="164"/>
    </row>
    <row r="81" spans="1:11" s="165" customFormat="1" ht="21" customHeight="1" thickBot="1">
      <c r="A81" s="1010" t="s">
        <v>626</v>
      </c>
      <c r="B81" s="990" t="s">
        <v>549</v>
      </c>
      <c r="C81" s="1018" t="s">
        <v>449</v>
      </c>
      <c r="D81" s="963" t="s">
        <v>448</v>
      </c>
      <c r="E81" s="362" t="s">
        <v>604</v>
      </c>
      <c r="F81" s="348">
        <f>SUM(F82:F85)</f>
        <v>2900000</v>
      </c>
      <c r="G81" s="168">
        <f>SUM(G82:G85)</f>
        <v>2885700</v>
      </c>
      <c r="H81" s="168">
        <f>SUM(H82:H85)</f>
        <v>0</v>
      </c>
      <c r="I81" s="168">
        <f>SUM(I82:I85)</f>
        <v>0</v>
      </c>
      <c r="J81" s="349"/>
      <c r="K81" s="164"/>
    </row>
    <row r="82" spans="1:11" s="165" customFormat="1" ht="15" customHeight="1">
      <c r="A82" s="1011"/>
      <c r="B82" s="991"/>
      <c r="C82" s="1019"/>
      <c r="D82" s="964"/>
      <c r="E82" s="338" t="s">
        <v>605</v>
      </c>
      <c r="F82" s="169">
        <f>G82+H82+I82</f>
        <v>2465000</v>
      </c>
      <c r="G82" s="166">
        <v>2465000</v>
      </c>
      <c r="H82" s="166"/>
      <c r="I82" s="166"/>
      <c r="J82" s="325"/>
      <c r="K82" s="164"/>
    </row>
    <row r="83" spans="1:11" s="165" customFormat="1" ht="15" customHeight="1">
      <c r="A83" s="1011"/>
      <c r="B83" s="991"/>
      <c r="C83" s="1019"/>
      <c r="D83" s="964"/>
      <c r="E83" s="338" t="s">
        <v>606</v>
      </c>
      <c r="F83" s="169">
        <f>G83+H83+I83+14300</f>
        <v>95000</v>
      </c>
      <c r="G83" s="166">
        <v>80700</v>
      </c>
      <c r="H83" s="166"/>
      <c r="I83" s="166"/>
      <c r="J83" s="325"/>
      <c r="K83" s="164"/>
    </row>
    <row r="84" spans="1:11" s="165" customFormat="1" ht="15" customHeight="1">
      <c r="A84" s="1011"/>
      <c r="B84" s="991"/>
      <c r="C84" s="1019"/>
      <c r="D84" s="964"/>
      <c r="E84" s="338" t="s">
        <v>607</v>
      </c>
      <c r="F84" s="169">
        <f>G84+H84+I84</f>
        <v>340000</v>
      </c>
      <c r="G84" s="166">
        <v>340000</v>
      </c>
      <c r="H84" s="166"/>
      <c r="I84" s="166"/>
      <c r="J84" s="325"/>
      <c r="K84" s="164"/>
    </row>
    <row r="85" spans="1:11" s="165" customFormat="1" ht="15" customHeight="1">
      <c r="A85" s="1022"/>
      <c r="B85" s="992"/>
      <c r="C85" s="1020"/>
      <c r="D85" s="965"/>
      <c r="E85" s="340" t="s">
        <v>608</v>
      </c>
      <c r="F85" s="347">
        <f>G85+H85+I85</f>
        <v>0</v>
      </c>
      <c r="G85" s="354"/>
      <c r="H85" s="354"/>
      <c r="I85" s="354"/>
      <c r="J85" s="325"/>
      <c r="K85" s="164"/>
    </row>
    <row r="86" spans="1:11" s="165" customFormat="1" ht="20.25" customHeight="1">
      <c r="A86" s="1010" t="s">
        <v>627</v>
      </c>
      <c r="B86" s="990" t="s">
        <v>628</v>
      </c>
      <c r="C86" s="1018" t="s">
        <v>449</v>
      </c>
      <c r="D86" s="963" t="s">
        <v>524</v>
      </c>
      <c r="E86" s="362" t="s">
        <v>604</v>
      </c>
      <c r="F86" s="348">
        <f>SUM(F87:F90)</f>
        <v>2100000</v>
      </c>
      <c r="G86" s="168">
        <f>SUM(G87:G90)</f>
        <v>1015000</v>
      </c>
      <c r="H86" s="348">
        <f>SUM(H87:H90)</f>
        <v>300000</v>
      </c>
      <c r="I86" s="168">
        <f>SUM(I87:I90)</f>
        <v>300000</v>
      </c>
      <c r="J86" s="325"/>
      <c r="K86" s="164"/>
    </row>
    <row r="87" spans="1:11" s="165" customFormat="1" ht="15" customHeight="1">
      <c r="A87" s="1011"/>
      <c r="B87" s="991"/>
      <c r="C87" s="1019"/>
      <c r="D87" s="964"/>
      <c r="E87" s="338" t="s">
        <v>605</v>
      </c>
      <c r="F87" s="169">
        <f>G87+H87+I87+400000</f>
        <v>850000</v>
      </c>
      <c r="G87" s="166"/>
      <c r="H87" s="169">
        <v>200000</v>
      </c>
      <c r="I87" s="166">
        <v>250000</v>
      </c>
      <c r="J87" s="325"/>
      <c r="K87" s="164"/>
    </row>
    <row r="88" spans="1:11" s="165" customFormat="1" ht="15" customHeight="1">
      <c r="A88" s="1011"/>
      <c r="B88" s="991"/>
      <c r="C88" s="1019"/>
      <c r="D88" s="964"/>
      <c r="E88" s="338" t="s">
        <v>606</v>
      </c>
      <c r="F88" s="169">
        <f>G88+H88+I88+5000</f>
        <v>70000</v>
      </c>
      <c r="G88" s="166">
        <v>35000</v>
      </c>
      <c r="H88" s="169">
        <v>25000</v>
      </c>
      <c r="I88" s="166">
        <v>5000</v>
      </c>
      <c r="J88" s="325"/>
      <c r="K88" s="164"/>
    </row>
    <row r="89" spans="1:11" s="165" customFormat="1" ht="15" customHeight="1">
      <c r="A89" s="1011"/>
      <c r="B89" s="991"/>
      <c r="C89" s="1019"/>
      <c r="D89" s="964"/>
      <c r="E89" s="338" t="s">
        <v>607</v>
      </c>
      <c r="F89" s="169">
        <f>G89+H89+I89+40000</f>
        <v>400000</v>
      </c>
      <c r="G89" s="166">
        <v>320000</v>
      </c>
      <c r="H89" s="169">
        <v>25000</v>
      </c>
      <c r="I89" s="166">
        <v>15000</v>
      </c>
      <c r="J89" s="325"/>
      <c r="K89" s="164"/>
    </row>
    <row r="90" spans="1:11" s="165" customFormat="1" ht="15" customHeight="1">
      <c r="A90" s="1011"/>
      <c r="B90" s="992"/>
      <c r="C90" s="1020"/>
      <c r="D90" s="965"/>
      <c r="E90" s="340" t="s">
        <v>608</v>
      </c>
      <c r="F90" s="347">
        <f>G90+H90+I90+40000</f>
        <v>780000</v>
      </c>
      <c r="G90" s="354">
        <v>660000</v>
      </c>
      <c r="H90" s="169">
        <v>50000</v>
      </c>
      <c r="I90" s="354">
        <v>30000</v>
      </c>
      <c r="J90" s="325"/>
      <c r="K90" s="164"/>
    </row>
    <row r="91" spans="1:11" s="165" customFormat="1" ht="20.25" customHeight="1">
      <c r="A91" s="1011"/>
      <c r="B91" s="990" t="s">
        <v>629</v>
      </c>
      <c r="C91" s="1018" t="s">
        <v>449</v>
      </c>
      <c r="D91" s="963">
        <v>2009</v>
      </c>
      <c r="E91" s="362" t="s">
        <v>604</v>
      </c>
      <c r="F91" s="348">
        <f>SUM(F92:F95)</f>
        <v>300000</v>
      </c>
      <c r="G91" s="168">
        <f>SUM(G92:G95)</f>
        <v>0</v>
      </c>
      <c r="H91" s="348">
        <f>SUM(H92:H95)</f>
        <v>300000</v>
      </c>
      <c r="I91" s="168">
        <f>SUM(I92:I95)</f>
        <v>0</v>
      </c>
      <c r="J91" s="325"/>
      <c r="K91" s="164"/>
    </row>
    <row r="92" spans="1:11" s="165" customFormat="1" ht="15" customHeight="1">
      <c r="A92" s="1011"/>
      <c r="B92" s="991"/>
      <c r="C92" s="1019"/>
      <c r="D92" s="964"/>
      <c r="E92" s="338" t="s">
        <v>605</v>
      </c>
      <c r="F92" s="169">
        <f>G92+H92+I92</f>
        <v>225000</v>
      </c>
      <c r="G92" s="166"/>
      <c r="H92" s="169">
        <v>225000</v>
      </c>
      <c r="I92" s="166"/>
      <c r="J92" s="325"/>
      <c r="K92" s="164"/>
    </row>
    <row r="93" spans="1:11" s="165" customFormat="1" ht="15" customHeight="1">
      <c r="A93" s="1011"/>
      <c r="B93" s="991"/>
      <c r="C93" s="1019"/>
      <c r="D93" s="964"/>
      <c r="E93" s="338" t="s">
        <v>606</v>
      </c>
      <c r="F93" s="169">
        <f>G93+H93+I93</f>
        <v>75000</v>
      </c>
      <c r="G93" s="166"/>
      <c r="H93" s="169">
        <v>75000</v>
      </c>
      <c r="I93" s="166"/>
      <c r="J93" s="325"/>
      <c r="K93" s="164"/>
    </row>
    <row r="94" spans="1:11" s="165" customFormat="1" ht="15" customHeight="1">
      <c r="A94" s="1011"/>
      <c r="B94" s="991"/>
      <c r="C94" s="1019"/>
      <c r="D94" s="964"/>
      <c r="E94" s="338" t="s">
        <v>607</v>
      </c>
      <c r="F94" s="169">
        <f>G94+H94+I94</f>
        <v>0</v>
      </c>
      <c r="G94" s="166"/>
      <c r="H94" s="169"/>
      <c r="I94" s="166"/>
      <c r="J94" s="325"/>
      <c r="K94" s="164"/>
    </row>
    <row r="95" spans="1:11" s="165" customFormat="1" ht="15" customHeight="1">
      <c r="A95" s="1011"/>
      <c r="B95" s="992"/>
      <c r="C95" s="1020"/>
      <c r="D95" s="965"/>
      <c r="E95" s="340" t="s">
        <v>608</v>
      </c>
      <c r="F95" s="347">
        <f>G95+H95+I95</f>
        <v>0</v>
      </c>
      <c r="G95" s="354"/>
      <c r="H95" s="169"/>
      <c r="I95" s="354"/>
      <c r="J95" s="325"/>
      <c r="K95" s="164"/>
    </row>
    <row r="96" spans="1:11" s="165" customFormat="1" ht="20.25" customHeight="1">
      <c r="A96" s="1011"/>
      <c r="B96" s="990" t="s">
        <v>630</v>
      </c>
      <c r="C96" s="1018" t="s">
        <v>449</v>
      </c>
      <c r="D96" s="963">
        <v>2010</v>
      </c>
      <c r="E96" s="362" t="s">
        <v>604</v>
      </c>
      <c r="F96" s="348">
        <f>SUM(F97:F100)</f>
        <v>300000</v>
      </c>
      <c r="G96" s="168">
        <f>SUM(G97:G100)</f>
        <v>0</v>
      </c>
      <c r="H96" s="348">
        <f>SUM(H97:H100)</f>
        <v>0</v>
      </c>
      <c r="I96" s="168">
        <f>SUM(I97:I100)</f>
        <v>300000</v>
      </c>
      <c r="J96" s="325"/>
      <c r="K96" s="164"/>
    </row>
    <row r="97" spans="1:11" s="165" customFormat="1" ht="15" customHeight="1">
      <c r="A97" s="1011"/>
      <c r="B97" s="991"/>
      <c r="C97" s="1019"/>
      <c r="D97" s="964"/>
      <c r="E97" s="338" t="s">
        <v>605</v>
      </c>
      <c r="F97" s="169">
        <f>G97+H97+I97</f>
        <v>0</v>
      </c>
      <c r="G97" s="166"/>
      <c r="H97" s="169"/>
      <c r="I97" s="166"/>
      <c r="J97" s="325"/>
      <c r="K97" s="164"/>
    </row>
    <row r="98" spans="1:11" s="165" customFormat="1" ht="15" customHeight="1">
      <c r="A98" s="1011"/>
      <c r="B98" s="991"/>
      <c r="C98" s="1019"/>
      <c r="D98" s="964"/>
      <c r="E98" s="338" t="s">
        <v>606</v>
      </c>
      <c r="F98" s="169">
        <f>G98+H98+I98</f>
        <v>60000</v>
      </c>
      <c r="G98" s="166"/>
      <c r="H98" s="169"/>
      <c r="I98" s="166">
        <v>60000</v>
      </c>
      <c r="J98" s="325"/>
      <c r="K98" s="164"/>
    </row>
    <row r="99" spans="1:11" s="165" customFormat="1" ht="15" customHeight="1">
      <c r="A99" s="1011"/>
      <c r="B99" s="991"/>
      <c r="C99" s="1019"/>
      <c r="D99" s="964"/>
      <c r="E99" s="338" t="s">
        <v>607</v>
      </c>
      <c r="F99" s="169">
        <f>G99+H99+I99</f>
        <v>0</v>
      </c>
      <c r="G99" s="166"/>
      <c r="H99" s="169"/>
      <c r="I99" s="166"/>
      <c r="J99" s="325"/>
      <c r="K99" s="164"/>
    </row>
    <row r="100" spans="1:11" s="165" customFormat="1" ht="15" customHeight="1">
      <c r="A100" s="1011"/>
      <c r="B100" s="992"/>
      <c r="C100" s="1020"/>
      <c r="D100" s="965"/>
      <c r="E100" s="340" t="s">
        <v>608</v>
      </c>
      <c r="F100" s="347">
        <f>G100+H100+I100</f>
        <v>240000</v>
      </c>
      <c r="G100" s="354"/>
      <c r="H100" s="169"/>
      <c r="I100" s="354">
        <v>240000</v>
      </c>
      <c r="J100" s="325"/>
      <c r="K100" s="164"/>
    </row>
    <row r="101" spans="1:11" s="165" customFormat="1" ht="20.25" customHeight="1">
      <c r="A101" s="1011"/>
      <c r="B101" s="990" t="s">
        <v>633</v>
      </c>
      <c r="C101" s="1018" t="s">
        <v>449</v>
      </c>
      <c r="D101" s="963">
        <v>2010</v>
      </c>
      <c r="E101" s="362" t="s">
        <v>604</v>
      </c>
      <c r="F101" s="348">
        <f>SUM(F102:F105)</f>
        <v>1000000</v>
      </c>
      <c r="G101" s="168">
        <f>SUM(G102:G105)</f>
        <v>0</v>
      </c>
      <c r="H101" s="348">
        <f>SUM(H102:H105)</f>
        <v>0</v>
      </c>
      <c r="I101" s="168">
        <f>SUM(I102:I105)</f>
        <v>1000000</v>
      </c>
      <c r="J101" s="325"/>
      <c r="K101" s="164"/>
    </row>
    <row r="102" spans="1:11" s="165" customFormat="1" ht="15" customHeight="1">
      <c r="A102" s="1011"/>
      <c r="B102" s="991"/>
      <c r="C102" s="1019"/>
      <c r="D102" s="964"/>
      <c r="E102" s="338" t="s">
        <v>605</v>
      </c>
      <c r="F102" s="169">
        <f>G102+H102+I102</f>
        <v>850000</v>
      </c>
      <c r="G102" s="166"/>
      <c r="H102" s="169"/>
      <c r="I102" s="166">
        <v>850000</v>
      </c>
      <c r="J102" s="325"/>
      <c r="K102" s="164"/>
    </row>
    <row r="103" spans="1:11" s="165" customFormat="1" ht="15" customHeight="1">
      <c r="A103" s="1011"/>
      <c r="B103" s="991"/>
      <c r="C103" s="1019"/>
      <c r="D103" s="964"/>
      <c r="E103" s="338" t="s">
        <v>606</v>
      </c>
      <c r="F103" s="169">
        <f>G103+H103+I103</f>
        <v>110000</v>
      </c>
      <c r="G103" s="166"/>
      <c r="H103" s="169"/>
      <c r="I103" s="166">
        <v>110000</v>
      </c>
      <c r="J103" s="325"/>
      <c r="K103" s="164"/>
    </row>
    <row r="104" spans="1:11" s="165" customFormat="1" ht="15" customHeight="1">
      <c r="A104" s="1011"/>
      <c r="B104" s="991"/>
      <c r="C104" s="1019"/>
      <c r="D104" s="964"/>
      <c r="E104" s="338" t="s">
        <v>607</v>
      </c>
      <c r="F104" s="169">
        <f>G104+H104+I104</f>
        <v>40000</v>
      </c>
      <c r="G104" s="166"/>
      <c r="H104" s="169"/>
      <c r="I104" s="166">
        <v>40000</v>
      </c>
      <c r="J104" s="325"/>
      <c r="K104" s="164"/>
    </row>
    <row r="105" spans="1:11" s="165" customFormat="1" ht="15" customHeight="1">
      <c r="A105" s="1022"/>
      <c r="B105" s="992"/>
      <c r="C105" s="1020"/>
      <c r="D105" s="965"/>
      <c r="E105" s="340" t="s">
        <v>608</v>
      </c>
      <c r="F105" s="347">
        <f>G105+H105+I105</f>
        <v>0</v>
      </c>
      <c r="G105" s="354"/>
      <c r="H105" s="347"/>
      <c r="I105" s="354"/>
      <c r="J105" s="325"/>
      <c r="K105" s="164"/>
    </row>
    <row r="106" spans="1:12" s="155" customFormat="1" ht="10.5" customHeight="1" thickBot="1">
      <c r="A106" s="358"/>
      <c r="B106" s="359"/>
      <c r="C106" s="359"/>
      <c r="D106" s="359"/>
      <c r="E106" s="359"/>
      <c r="F106" s="359"/>
      <c r="G106" s="359"/>
      <c r="H106" s="359"/>
      <c r="I106" s="359"/>
      <c r="J106" s="359"/>
      <c r="K106" s="360"/>
      <c r="L106" s="361"/>
    </row>
    <row r="107" spans="1:11" s="158" customFormat="1" ht="14.25" customHeight="1">
      <c r="A107" s="981" t="s">
        <v>596</v>
      </c>
      <c r="B107" s="981" t="s">
        <v>146</v>
      </c>
      <c r="C107" s="984" t="s">
        <v>623</v>
      </c>
      <c r="D107" s="987" t="s">
        <v>597</v>
      </c>
      <c r="E107" s="967" t="s">
        <v>598</v>
      </c>
      <c r="F107" s="968"/>
      <c r="G107" s="973" t="s">
        <v>610</v>
      </c>
      <c r="H107" s="974"/>
      <c r="I107" s="975"/>
      <c r="J107" s="214"/>
      <c r="K107" s="157"/>
    </row>
    <row r="108" spans="1:11" s="158" customFormat="1" ht="14.25" customHeight="1">
      <c r="A108" s="982"/>
      <c r="B108" s="982"/>
      <c r="C108" s="985"/>
      <c r="D108" s="988"/>
      <c r="E108" s="969"/>
      <c r="F108" s="970"/>
      <c r="G108" s="976"/>
      <c r="H108" s="977"/>
      <c r="I108" s="978"/>
      <c r="J108" s="223"/>
      <c r="K108" s="157"/>
    </row>
    <row r="109" spans="1:11" s="158" customFormat="1" ht="9.75" customHeight="1">
      <c r="A109" s="982"/>
      <c r="B109" s="982"/>
      <c r="C109" s="985"/>
      <c r="D109" s="988"/>
      <c r="E109" s="969"/>
      <c r="F109" s="970"/>
      <c r="G109" s="979" t="s">
        <v>609</v>
      </c>
      <c r="H109" s="979" t="s">
        <v>415</v>
      </c>
      <c r="I109" s="979" t="s">
        <v>495</v>
      </c>
      <c r="J109" s="212" t="s">
        <v>497</v>
      </c>
      <c r="K109" s="157"/>
    </row>
    <row r="110" spans="1:11" s="158" customFormat="1" ht="9" customHeight="1">
      <c r="A110" s="983"/>
      <c r="B110" s="983"/>
      <c r="C110" s="986"/>
      <c r="D110" s="989"/>
      <c r="E110" s="971"/>
      <c r="F110" s="972"/>
      <c r="G110" s="980"/>
      <c r="H110" s="980"/>
      <c r="I110" s="980"/>
      <c r="J110" s="213"/>
      <c r="K110" s="157"/>
    </row>
    <row r="111" spans="1:11" s="171" customFormat="1" ht="10.5" customHeight="1">
      <c r="A111" s="342">
        <v>1</v>
      </c>
      <c r="B111" s="342">
        <v>2</v>
      </c>
      <c r="C111" s="343">
        <v>3</v>
      </c>
      <c r="D111" s="342">
        <v>4</v>
      </c>
      <c r="E111" s="966">
        <v>5</v>
      </c>
      <c r="F111" s="966"/>
      <c r="G111" s="343">
        <v>6</v>
      </c>
      <c r="H111" s="343">
        <v>7</v>
      </c>
      <c r="I111" s="343">
        <v>8</v>
      </c>
      <c r="J111" s="357">
        <v>10</v>
      </c>
      <c r="K111" s="170"/>
    </row>
    <row r="112" spans="1:11" s="165" customFormat="1" ht="20.25" customHeight="1">
      <c r="A112" s="1010" t="s">
        <v>627</v>
      </c>
      <c r="B112" s="990" t="s">
        <v>631</v>
      </c>
      <c r="C112" s="1018" t="s">
        <v>449</v>
      </c>
      <c r="D112" s="963" t="s">
        <v>546</v>
      </c>
      <c r="E112" s="362" t="s">
        <v>604</v>
      </c>
      <c r="F112" s="348">
        <f>SUM(F113:F116)</f>
        <v>1609000</v>
      </c>
      <c r="G112" s="168">
        <f>SUM(G113:G116)</f>
        <v>9000</v>
      </c>
      <c r="H112" s="348">
        <f>SUM(H113:H116)</f>
        <v>1600000</v>
      </c>
      <c r="I112" s="168">
        <f>SUM(I113:I116)</f>
        <v>0</v>
      </c>
      <c r="J112" s="325"/>
      <c r="K112" s="164"/>
    </row>
    <row r="113" spans="1:11" s="165" customFormat="1" ht="15" customHeight="1">
      <c r="A113" s="1011"/>
      <c r="B113" s="991"/>
      <c r="C113" s="1019"/>
      <c r="D113" s="964"/>
      <c r="E113" s="338" t="s">
        <v>605</v>
      </c>
      <c r="F113" s="169">
        <f>G113+H113+I113</f>
        <v>1360000</v>
      </c>
      <c r="G113" s="166"/>
      <c r="H113" s="169">
        <v>1360000</v>
      </c>
      <c r="I113" s="166"/>
      <c r="J113" s="325"/>
      <c r="K113" s="164"/>
    </row>
    <row r="114" spans="1:11" s="165" customFormat="1" ht="15" customHeight="1">
      <c r="A114" s="1011"/>
      <c r="B114" s="991"/>
      <c r="C114" s="1019"/>
      <c r="D114" s="964"/>
      <c r="E114" s="338" t="s">
        <v>606</v>
      </c>
      <c r="F114" s="169">
        <f>G114+H114+I114</f>
        <v>109000</v>
      </c>
      <c r="G114" s="166">
        <v>9000</v>
      </c>
      <c r="H114" s="169">
        <v>100000</v>
      </c>
      <c r="I114" s="166"/>
      <c r="J114" s="325"/>
      <c r="K114" s="164"/>
    </row>
    <row r="115" spans="1:11" s="165" customFormat="1" ht="15" customHeight="1">
      <c r="A115" s="1011"/>
      <c r="B115" s="991"/>
      <c r="C115" s="1019"/>
      <c r="D115" s="964"/>
      <c r="E115" s="338" t="s">
        <v>607</v>
      </c>
      <c r="F115" s="169">
        <f>G115+H115+I115</f>
        <v>140000</v>
      </c>
      <c r="G115" s="166"/>
      <c r="H115" s="169">
        <v>140000</v>
      </c>
      <c r="I115" s="166"/>
      <c r="J115" s="325"/>
      <c r="K115" s="164"/>
    </row>
    <row r="116" spans="1:11" s="165" customFormat="1" ht="15" customHeight="1">
      <c r="A116" s="1011"/>
      <c r="B116" s="992"/>
      <c r="C116" s="1020"/>
      <c r="D116" s="965"/>
      <c r="E116" s="340" t="s">
        <v>608</v>
      </c>
      <c r="F116" s="347">
        <f>G116+H116+I116</f>
        <v>0</v>
      </c>
      <c r="G116" s="354"/>
      <c r="H116" s="347"/>
      <c r="I116" s="354"/>
      <c r="J116" s="325"/>
      <c r="K116" s="164"/>
    </row>
    <row r="117" spans="1:11" s="165" customFormat="1" ht="20.25" customHeight="1">
      <c r="A117" s="1011"/>
      <c r="B117" s="990" t="s">
        <v>719</v>
      </c>
      <c r="C117" s="1018" t="s">
        <v>449</v>
      </c>
      <c r="D117" s="963" t="s">
        <v>632</v>
      </c>
      <c r="E117" s="362" t="s">
        <v>604</v>
      </c>
      <c r="F117" s="348">
        <f>SUM(F118:F121)</f>
        <v>500000</v>
      </c>
      <c r="G117" s="168">
        <f>SUM(G118:G121)</f>
        <v>0</v>
      </c>
      <c r="H117" s="348">
        <f>SUM(H118:H121)</f>
        <v>85000</v>
      </c>
      <c r="I117" s="168">
        <f>SUM(I118:I121)</f>
        <v>85000</v>
      </c>
      <c r="J117" s="325"/>
      <c r="K117" s="164"/>
    </row>
    <row r="118" spans="1:11" s="165" customFormat="1" ht="15" customHeight="1">
      <c r="A118" s="1011"/>
      <c r="B118" s="991"/>
      <c r="C118" s="1019"/>
      <c r="D118" s="964"/>
      <c r="E118" s="338" t="s">
        <v>605</v>
      </c>
      <c r="F118" s="169">
        <f>G118+H118+I118</f>
        <v>0</v>
      </c>
      <c r="G118" s="166"/>
      <c r="H118" s="169"/>
      <c r="I118" s="166"/>
      <c r="J118" s="325"/>
      <c r="K118" s="164"/>
    </row>
    <row r="119" spans="1:11" s="165" customFormat="1" ht="15" customHeight="1">
      <c r="A119" s="1011"/>
      <c r="B119" s="991"/>
      <c r="C119" s="1019"/>
      <c r="D119" s="964"/>
      <c r="E119" s="338" t="s">
        <v>606</v>
      </c>
      <c r="F119" s="169">
        <f>G119+H119+I119+H119+I119+60000</f>
        <v>200000</v>
      </c>
      <c r="G119" s="166"/>
      <c r="H119" s="169">
        <v>35000</v>
      </c>
      <c r="I119" s="166">
        <v>35000</v>
      </c>
      <c r="J119" s="325"/>
      <c r="K119" s="164"/>
    </row>
    <row r="120" spans="1:11" s="165" customFormat="1" ht="15" customHeight="1">
      <c r="A120" s="1011"/>
      <c r="B120" s="991"/>
      <c r="C120" s="1019"/>
      <c r="D120" s="964"/>
      <c r="E120" s="338" t="s">
        <v>607</v>
      </c>
      <c r="F120" s="169">
        <f>G120+H120+I120+H120+I120+100000</f>
        <v>300000</v>
      </c>
      <c r="G120" s="166"/>
      <c r="H120" s="169">
        <v>50000</v>
      </c>
      <c r="I120" s="166">
        <v>50000</v>
      </c>
      <c r="J120" s="325"/>
      <c r="K120" s="164"/>
    </row>
    <row r="121" spans="1:11" s="165" customFormat="1" ht="15" customHeight="1">
      <c r="A121" s="1022"/>
      <c r="B121" s="992"/>
      <c r="C121" s="1020"/>
      <c r="D121" s="965"/>
      <c r="E121" s="340" t="s">
        <v>608</v>
      </c>
      <c r="F121" s="347">
        <f>G121+H121+I121</f>
        <v>0</v>
      </c>
      <c r="G121" s="354"/>
      <c r="H121" s="347"/>
      <c r="I121" s="354"/>
      <c r="J121" s="325"/>
      <c r="K121" s="164"/>
    </row>
    <row r="122" spans="1:11" s="165" customFormat="1" ht="21" customHeight="1">
      <c r="A122" s="1010" t="s">
        <v>634</v>
      </c>
      <c r="B122" s="990" t="s">
        <v>543</v>
      </c>
      <c r="C122" s="993" t="s">
        <v>500</v>
      </c>
      <c r="D122" s="1015" t="s">
        <v>544</v>
      </c>
      <c r="E122" s="362" t="s">
        <v>604</v>
      </c>
      <c r="F122" s="348">
        <f>SUM(F123:F126)</f>
        <v>350000</v>
      </c>
      <c r="G122" s="168">
        <f>SUM(G123:G126)</f>
        <v>87000</v>
      </c>
      <c r="H122" s="348">
        <f>SUM(H123:H126)</f>
        <v>87000</v>
      </c>
      <c r="I122" s="168">
        <f>SUM(I123:I126)</f>
        <v>87000</v>
      </c>
      <c r="J122" s="325"/>
      <c r="K122" s="164"/>
    </row>
    <row r="123" spans="1:11" s="165" customFormat="1" ht="15" customHeight="1">
      <c r="A123" s="1011"/>
      <c r="B123" s="991"/>
      <c r="C123" s="994"/>
      <c r="D123" s="1016"/>
      <c r="E123" s="338" t="s">
        <v>605</v>
      </c>
      <c r="F123" s="169">
        <f>G123+H123+I123</f>
        <v>0</v>
      </c>
      <c r="G123" s="166"/>
      <c r="H123" s="169"/>
      <c r="I123" s="166"/>
      <c r="J123" s="325"/>
      <c r="K123" s="164"/>
    </row>
    <row r="124" spans="1:11" s="165" customFormat="1" ht="15" customHeight="1">
      <c r="A124" s="1011"/>
      <c r="B124" s="991"/>
      <c r="C124" s="994"/>
      <c r="D124" s="1016"/>
      <c r="E124" s="338" t="s">
        <v>606</v>
      </c>
      <c r="F124" s="169">
        <f>G124+H124+I124+6000</f>
        <v>101000</v>
      </c>
      <c r="G124" s="166">
        <v>87000</v>
      </c>
      <c r="H124" s="169">
        <v>4000</v>
      </c>
      <c r="I124" s="166">
        <v>4000</v>
      </c>
      <c r="J124" s="325"/>
      <c r="K124" s="164"/>
    </row>
    <row r="125" spans="1:11" s="165" customFormat="1" ht="15" customHeight="1">
      <c r="A125" s="1011"/>
      <c r="B125" s="991"/>
      <c r="C125" s="994"/>
      <c r="D125" s="1016"/>
      <c r="E125" s="338" t="s">
        <v>607</v>
      </c>
      <c r="F125" s="169">
        <f>G125+H125+I125</f>
        <v>0</v>
      </c>
      <c r="G125" s="166"/>
      <c r="H125" s="169"/>
      <c r="I125" s="166"/>
      <c r="J125" s="325"/>
      <c r="K125" s="164"/>
    </row>
    <row r="126" spans="1:11" s="165" customFormat="1" ht="15" customHeight="1">
      <c r="A126" s="1011"/>
      <c r="B126" s="992"/>
      <c r="C126" s="995"/>
      <c r="D126" s="1017"/>
      <c r="E126" s="340" t="s">
        <v>608</v>
      </c>
      <c r="F126" s="347">
        <f>G126+H126+I126+83000</f>
        <v>249000</v>
      </c>
      <c r="G126" s="354"/>
      <c r="H126" s="169">
        <v>83000</v>
      </c>
      <c r="I126" s="354">
        <v>83000</v>
      </c>
      <c r="J126" s="325"/>
      <c r="K126" s="164"/>
    </row>
    <row r="127" spans="1:11" s="165" customFormat="1" ht="21" customHeight="1">
      <c r="A127" s="1011"/>
      <c r="B127" s="990" t="s">
        <v>730</v>
      </c>
      <c r="C127" s="993" t="s">
        <v>500</v>
      </c>
      <c r="D127" s="1015" t="s">
        <v>582</v>
      </c>
      <c r="E127" s="362" t="s">
        <v>604</v>
      </c>
      <c r="F127" s="348">
        <f>SUM(F128:F131)</f>
        <v>850000</v>
      </c>
      <c r="G127" s="168">
        <f>SUM(G128:G131)</f>
        <v>450000</v>
      </c>
      <c r="H127" s="168">
        <f>SUM(H128:H131)</f>
        <v>200000</v>
      </c>
      <c r="I127" s="168">
        <f>SUM(I128:I131)</f>
        <v>200000</v>
      </c>
      <c r="J127" s="325"/>
      <c r="K127" s="164"/>
    </row>
    <row r="128" spans="1:11" s="165" customFormat="1" ht="15" customHeight="1">
      <c r="A128" s="1011"/>
      <c r="B128" s="991"/>
      <c r="C128" s="994"/>
      <c r="D128" s="1016"/>
      <c r="E128" s="338" t="s">
        <v>605</v>
      </c>
      <c r="F128" s="169">
        <f>G128+H128+I128</f>
        <v>0</v>
      </c>
      <c r="G128" s="166"/>
      <c r="H128" s="169"/>
      <c r="I128" s="166"/>
      <c r="J128" s="325"/>
      <c r="K128" s="164"/>
    </row>
    <row r="129" spans="1:11" s="165" customFormat="1" ht="15" customHeight="1">
      <c r="A129" s="1011"/>
      <c r="B129" s="991"/>
      <c r="C129" s="994"/>
      <c r="D129" s="1016"/>
      <c r="E129" s="338" t="s">
        <v>606</v>
      </c>
      <c r="F129" s="169">
        <f>G129+H129+I129</f>
        <v>70000</v>
      </c>
      <c r="G129" s="166">
        <v>50000</v>
      </c>
      <c r="H129" s="169">
        <v>10000</v>
      </c>
      <c r="I129" s="166">
        <v>10000</v>
      </c>
      <c r="J129" s="325"/>
      <c r="K129" s="164"/>
    </row>
    <row r="130" spans="1:11" s="165" customFormat="1" ht="16.5" customHeight="1">
      <c r="A130" s="1011"/>
      <c r="B130" s="991"/>
      <c r="C130" s="994"/>
      <c r="D130" s="1016"/>
      <c r="E130" s="338" t="s">
        <v>607</v>
      </c>
      <c r="F130" s="169">
        <f>G130+H130+I130</f>
        <v>380000</v>
      </c>
      <c r="G130" s="166"/>
      <c r="H130" s="169">
        <v>190000</v>
      </c>
      <c r="I130" s="166">
        <v>190000</v>
      </c>
      <c r="J130" s="325"/>
      <c r="K130" s="164"/>
    </row>
    <row r="131" spans="1:11" s="165" customFormat="1" ht="15.75" customHeight="1">
      <c r="A131" s="1011"/>
      <c r="B131" s="992"/>
      <c r="C131" s="995"/>
      <c r="D131" s="1017"/>
      <c r="E131" s="340" t="s">
        <v>608</v>
      </c>
      <c r="F131" s="347">
        <f>G131+H131+I131</f>
        <v>400000</v>
      </c>
      <c r="G131" s="354">
        <v>400000</v>
      </c>
      <c r="H131" s="169"/>
      <c r="I131" s="354"/>
      <c r="J131" s="325"/>
      <c r="K131" s="164"/>
    </row>
    <row r="132" spans="1:11" s="165" customFormat="1" ht="19.5" customHeight="1">
      <c r="A132" s="1011"/>
      <c r="B132" s="990" t="s">
        <v>584</v>
      </c>
      <c r="C132" s="993" t="s">
        <v>500</v>
      </c>
      <c r="D132" s="1015">
        <v>2008</v>
      </c>
      <c r="E132" s="362" t="s">
        <v>604</v>
      </c>
      <c r="F132" s="348">
        <f>SUM(F133:F136)</f>
        <v>250000</v>
      </c>
      <c r="G132" s="168">
        <f>SUM(G133:G136)</f>
        <v>250000</v>
      </c>
      <c r="H132" s="168">
        <f>SUM(H133:H136)</f>
        <v>0</v>
      </c>
      <c r="I132" s="168">
        <f>SUM(I133:I136)</f>
        <v>0</v>
      </c>
      <c r="J132" s="348"/>
      <c r="K132" s="164"/>
    </row>
    <row r="133" spans="1:11" s="165" customFormat="1" ht="15" customHeight="1">
      <c r="A133" s="1011"/>
      <c r="B133" s="991"/>
      <c r="C133" s="994"/>
      <c r="D133" s="1016"/>
      <c r="E133" s="338" t="s">
        <v>605</v>
      </c>
      <c r="F133" s="169">
        <f>G133+H133+I133</f>
        <v>0</v>
      </c>
      <c r="G133" s="166"/>
      <c r="H133" s="169"/>
      <c r="I133" s="166"/>
      <c r="J133" s="325"/>
      <c r="K133" s="164"/>
    </row>
    <row r="134" spans="1:11" s="165" customFormat="1" ht="15" customHeight="1">
      <c r="A134" s="1011"/>
      <c r="B134" s="991"/>
      <c r="C134" s="994"/>
      <c r="D134" s="1016"/>
      <c r="E134" s="338" t="s">
        <v>606</v>
      </c>
      <c r="F134" s="169">
        <f>G134+H134+I134</f>
        <v>25000</v>
      </c>
      <c r="G134" s="166">
        <v>25000</v>
      </c>
      <c r="H134" s="169"/>
      <c r="I134" s="166"/>
      <c r="J134" s="325"/>
      <c r="K134" s="164"/>
    </row>
    <row r="135" spans="1:11" s="165" customFormat="1" ht="15" customHeight="1">
      <c r="A135" s="1011"/>
      <c r="B135" s="991"/>
      <c r="C135" s="994"/>
      <c r="D135" s="1016"/>
      <c r="E135" s="338" t="s">
        <v>607</v>
      </c>
      <c r="F135" s="169">
        <f>G135+H135+I135</f>
        <v>0</v>
      </c>
      <c r="G135" s="166"/>
      <c r="H135" s="169"/>
      <c r="I135" s="166"/>
      <c r="J135" s="325"/>
      <c r="K135" s="164"/>
    </row>
    <row r="136" spans="1:11" s="165" customFormat="1" ht="15" customHeight="1">
      <c r="A136" s="1011"/>
      <c r="B136" s="992"/>
      <c r="C136" s="995"/>
      <c r="D136" s="1017"/>
      <c r="E136" s="340" t="s">
        <v>608</v>
      </c>
      <c r="F136" s="347">
        <f>G136+H136+I136</f>
        <v>225000</v>
      </c>
      <c r="G136" s="354">
        <v>225000</v>
      </c>
      <c r="H136" s="169"/>
      <c r="I136" s="354"/>
      <c r="J136" s="325"/>
      <c r="K136" s="164"/>
    </row>
    <row r="137" spans="1:11" s="165" customFormat="1" ht="17.25" customHeight="1">
      <c r="A137" s="1011"/>
      <c r="B137" s="990" t="s">
        <v>545</v>
      </c>
      <c r="C137" s="993" t="s">
        <v>500</v>
      </c>
      <c r="D137" s="1015" t="s">
        <v>546</v>
      </c>
      <c r="E137" s="362" t="s">
        <v>604</v>
      </c>
      <c r="F137" s="348">
        <f>SUM(F138:F141)</f>
        <v>610000</v>
      </c>
      <c r="G137" s="168">
        <f>SUM(G138:G141)</f>
        <v>10000</v>
      </c>
      <c r="H137" s="348">
        <f>SUM(H138:H141)</f>
        <v>600000</v>
      </c>
      <c r="I137" s="168">
        <f>SUM(I138:I141)</f>
        <v>0</v>
      </c>
      <c r="J137" s="325"/>
      <c r="K137" s="164"/>
    </row>
    <row r="138" spans="1:11" s="165" customFormat="1" ht="15.75" customHeight="1">
      <c r="A138" s="1011"/>
      <c r="B138" s="991"/>
      <c r="C138" s="994"/>
      <c r="D138" s="1016"/>
      <c r="E138" s="338" t="s">
        <v>605</v>
      </c>
      <c r="F138" s="169">
        <f>G138+H138+I138</f>
        <v>300000</v>
      </c>
      <c r="G138" s="166"/>
      <c r="H138" s="169">
        <v>300000</v>
      </c>
      <c r="I138" s="166"/>
      <c r="J138" s="325"/>
      <c r="K138" s="164"/>
    </row>
    <row r="139" spans="1:11" s="165" customFormat="1" ht="15.75" customHeight="1">
      <c r="A139" s="1011"/>
      <c r="B139" s="991"/>
      <c r="C139" s="994"/>
      <c r="D139" s="1016"/>
      <c r="E139" s="338" t="s">
        <v>606</v>
      </c>
      <c r="F139" s="169">
        <f>G139+H139+I139</f>
        <v>310000</v>
      </c>
      <c r="G139" s="166">
        <v>10000</v>
      </c>
      <c r="H139" s="169">
        <v>300000</v>
      </c>
      <c r="I139" s="166"/>
      <c r="J139" s="325"/>
      <c r="K139" s="164"/>
    </row>
    <row r="140" spans="1:11" s="165" customFormat="1" ht="15.75" customHeight="1">
      <c r="A140" s="1011"/>
      <c r="B140" s="991"/>
      <c r="C140" s="994"/>
      <c r="D140" s="1016"/>
      <c r="E140" s="338" t="s">
        <v>607</v>
      </c>
      <c r="F140" s="169">
        <f>G140+H140+I140</f>
        <v>0</v>
      </c>
      <c r="G140" s="166"/>
      <c r="H140" s="169"/>
      <c r="I140" s="166"/>
      <c r="J140" s="325"/>
      <c r="K140" s="164"/>
    </row>
    <row r="141" spans="1:11" s="165" customFormat="1" ht="15.75" customHeight="1">
      <c r="A141" s="1022"/>
      <c r="B141" s="992"/>
      <c r="C141" s="995"/>
      <c r="D141" s="1017"/>
      <c r="E141" s="340" t="s">
        <v>608</v>
      </c>
      <c r="F141" s="347">
        <f>G141+H141+I141</f>
        <v>0</v>
      </c>
      <c r="G141" s="354"/>
      <c r="H141" s="347"/>
      <c r="I141" s="354"/>
      <c r="J141" s="325"/>
      <c r="K141" s="164"/>
    </row>
    <row r="142" spans="1:12" s="155" customFormat="1" ht="10.5" customHeight="1" thickBot="1">
      <c r="A142" s="358"/>
      <c r="B142" s="359"/>
      <c r="C142" s="359"/>
      <c r="D142" s="359"/>
      <c r="E142" s="359"/>
      <c r="F142" s="359"/>
      <c r="G142" s="359"/>
      <c r="H142" s="359"/>
      <c r="I142" s="359"/>
      <c r="J142" s="359"/>
      <c r="K142" s="360"/>
      <c r="L142" s="361"/>
    </row>
    <row r="143" spans="1:11" s="158" customFormat="1" ht="14.25" customHeight="1">
      <c r="A143" s="981" t="s">
        <v>596</v>
      </c>
      <c r="B143" s="981" t="s">
        <v>146</v>
      </c>
      <c r="C143" s="984" t="s">
        <v>623</v>
      </c>
      <c r="D143" s="987" t="s">
        <v>597</v>
      </c>
      <c r="E143" s="967" t="s">
        <v>598</v>
      </c>
      <c r="F143" s="968"/>
      <c r="G143" s="973" t="s">
        <v>610</v>
      </c>
      <c r="H143" s="974"/>
      <c r="I143" s="975"/>
      <c r="J143" s="214"/>
      <c r="K143" s="157"/>
    </row>
    <row r="144" spans="1:11" s="158" customFormat="1" ht="14.25" customHeight="1">
      <c r="A144" s="982"/>
      <c r="B144" s="982"/>
      <c r="C144" s="985"/>
      <c r="D144" s="988"/>
      <c r="E144" s="969"/>
      <c r="F144" s="970"/>
      <c r="G144" s="976"/>
      <c r="H144" s="977"/>
      <c r="I144" s="978"/>
      <c r="J144" s="223"/>
      <c r="K144" s="157"/>
    </row>
    <row r="145" spans="1:11" s="158" customFormat="1" ht="9.75" customHeight="1">
      <c r="A145" s="982"/>
      <c r="B145" s="982"/>
      <c r="C145" s="985"/>
      <c r="D145" s="988"/>
      <c r="E145" s="969"/>
      <c r="F145" s="970"/>
      <c r="G145" s="979" t="s">
        <v>609</v>
      </c>
      <c r="H145" s="979" t="s">
        <v>415</v>
      </c>
      <c r="I145" s="979" t="s">
        <v>495</v>
      </c>
      <c r="J145" s="212" t="s">
        <v>497</v>
      </c>
      <c r="K145" s="157"/>
    </row>
    <row r="146" spans="1:11" s="158" customFormat="1" ht="9" customHeight="1">
      <c r="A146" s="983"/>
      <c r="B146" s="983"/>
      <c r="C146" s="986"/>
      <c r="D146" s="989"/>
      <c r="E146" s="971"/>
      <c r="F146" s="972"/>
      <c r="G146" s="980"/>
      <c r="H146" s="980"/>
      <c r="I146" s="980"/>
      <c r="J146" s="213"/>
      <c r="K146" s="157"/>
    </row>
    <row r="147" spans="1:11" s="171" customFormat="1" ht="10.5" customHeight="1">
      <c r="A147" s="342">
        <v>1</v>
      </c>
      <c r="B147" s="342">
        <v>2</v>
      </c>
      <c r="C147" s="343">
        <v>3</v>
      </c>
      <c r="D147" s="342">
        <v>4</v>
      </c>
      <c r="E147" s="966">
        <v>5</v>
      </c>
      <c r="F147" s="966"/>
      <c r="G147" s="343">
        <v>6</v>
      </c>
      <c r="H147" s="343">
        <v>7</v>
      </c>
      <c r="I147" s="343">
        <v>8</v>
      </c>
      <c r="J147" s="357">
        <v>10</v>
      </c>
      <c r="K147" s="170"/>
    </row>
    <row r="148" spans="1:11" s="165" customFormat="1" ht="16.5" customHeight="1">
      <c r="A148" s="1010" t="s">
        <v>634</v>
      </c>
      <c r="B148" s="990" t="s">
        <v>635</v>
      </c>
      <c r="C148" s="993" t="s">
        <v>500</v>
      </c>
      <c r="D148" s="1015">
        <v>2010</v>
      </c>
      <c r="E148" s="362" t="s">
        <v>604</v>
      </c>
      <c r="F148" s="348">
        <f>SUM(F149:F152)</f>
        <v>1000000</v>
      </c>
      <c r="G148" s="168">
        <f>SUM(G149:G152)</f>
        <v>0</v>
      </c>
      <c r="H148" s="348">
        <f>SUM(H149:H152)</f>
        <v>0</v>
      </c>
      <c r="I148" s="168">
        <f>SUM(I149:I152)</f>
        <v>1000000</v>
      </c>
      <c r="J148" s="325"/>
      <c r="K148" s="164"/>
    </row>
    <row r="149" spans="1:11" s="165" customFormat="1" ht="15.75" customHeight="1">
      <c r="A149" s="1011"/>
      <c r="B149" s="991"/>
      <c r="C149" s="994"/>
      <c r="D149" s="1016"/>
      <c r="E149" s="338" t="s">
        <v>605</v>
      </c>
      <c r="F149" s="169">
        <f>G149+H149+I149</f>
        <v>0</v>
      </c>
      <c r="G149" s="166"/>
      <c r="H149" s="169"/>
      <c r="I149" s="166"/>
      <c r="J149" s="325"/>
      <c r="K149" s="164"/>
    </row>
    <row r="150" spans="1:11" s="165" customFormat="1" ht="15.75" customHeight="1">
      <c r="A150" s="1011"/>
      <c r="B150" s="991"/>
      <c r="C150" s="994"/>
      <c r="D150" s="1016"/>
      <c r="E150" s="338" t="s">
        <v>606</v>
      </c>
      <c r="F150" s="169">
        <f>G150+H150+I150</f>
        <v>75000</v>
      </c>
      <c r="G150" s="166"/>
      <c r="H150" s="169"/>
      <c r="I150" s="166">
        <v>75000</v>
      </c>
      <c r="J150" s="325"/>
      <c r="K150" s="164"/>
    </row>
    <row r="151" spans="1:11" s="165" customFormat="1" ht="15.75" customHeight="1">
      <c r="A151" s="1011"/>
      <c r="B151" s="991"/>
      <c r="C151" s="994"/>
      <c r="D151" s="1016"/>
      <c r="E151" s="338" t="s">
        <v>607</v>
      </c>
      <c r="F151" s="169">
        <f>G151+H151+I151</f>
        <v>925000</v>
      </c>
      <c r="G151" s="166"/>
      <c r="H151" s="169"/>
      <c r="I151" s="166">
        <v>925000</v>
      </c>
      <c r="J151" s="325"/>
      <c r="K151" s="164"/>
    </row>
    <row r="152" spans="1:11" s="165" customFormat="1" ht="15.75" customHeight="1">
      <c r="A152" s="1011"/>
      <c r="B152" s="992"/>
      <c r="C152" s="995"/>
      <c r="D152" s="1017"/>
      <c r="E152" s="340" t="s">
        <v>608</v>
      </c>
      <c r="F152" s="347">
        <f>G152+H152+I152</f>
        <v>0</v>
      </c>
      <c r="G152" s="354"/>
      <c r="H152" s="347"/>
      <c r="I152" s="354"/>
      <c r="J152" s="325"/>
      <c r="K152" s="164"/>
    </row>
    <row r="153" spans="1:11" s="165" customFormat="1" ht="21" customHeight="1">
      <c r="A153" s="1011"/>
      <c r="B153" s="990" t="s">
        <v>547</v>
      </c>
      <c r="C153" s="993" t="s">
        <v>500</v>
      </c>
      <c r="D153" s="1012" t="s">
        <v>717</v>
      </c>
      <c r="E153" s="362" t="s">
        <v>604</v>
      </c>
      <c r="F153" s="348">
        <f>SUM(F154:F157)</f>
        <v>350000</v>
      </c>
      <c r="G153" s="168">
        <f>SUM(G154:G157)</f>
        <v>0</v>
      </c>
      <c r="H153" s="348">
        <f>SUM(H154:H157)</f>
        <v>200000</v>
      </c>
      <c r="I153" s="168">
        <f>SUM(I154:I157)</f>
        <v>150000</v>
      </c>
      <c r="J153" s="325"/>
      <c r="K153" s="164"/>
    </row>
    <row r="154" spans="1:11" s="165" customFormat="1" ht="15" customHeight="1">
      <c r="A154" s="1011"/>
      <c r="B154" s="991"/>
      <c r="C154" s="994"/>
      <c r="D154" s="1013"/>
      <c r="E154" s="327" t="s">
        <v>605</v>
      </c>
      <c r="F154" s="169">
        <f>G154+H154+I154</f>
        <v>0</v>
      </c>
      <c r="G154" s="166"/>
      <c r="H154" s="169"/>
      <c r="I154" s="166"/>
      <c r="J154" s="325"/>
      <c r="K154" s="164"/>
    </row>
    <row r="155" spans="1:11" s="165" customFormat="1" ht="15" customHeight="1">
      <c r="A155" s="1011"/>
      <c r="B155" s="991"/>
      <c r="C155" s="994"/>
      <c r="D155" s="1013"/>
      <c r="E155" s="327" t="s">
        <v>606</v>
      </c>
      <c r="F155" s="169">
        <f>G155+H155+I155</f>
        <v>17000</v>
      </c>
      <c r="G155" s="166"/>
      <c r="H155" s="169">
        <v>10000</v>
      </c>
      <c r="I155" s="166">
        <v>7000</v>
      </c>
      <c r="J155" s="325"/>
      <c r="K155" s="164"/>
    </row>
    <row r="156" spans="1:11" s="165" customFormat="1" ht="15" customHeight="1">
      <c r="A156" s="1011"/>
      <c r="B156" s="991"/>
      <c r="C156" s="994"/>
      <c r="D156" s="1013"/>
      <c r="E156" s="327" t="s">
        <v>607</v>
      </c>
      <c r="F156" s="169">
        <f>G156+H156+I156</f>
        <v>0</v>
      </c>
      <c r="G156" s="166"/>
      <c r="H156" s="169"/>
      <c r="I156" s="166"/>
      <c r="J156" s="325"/>
      <c r="K156" s="164"/>
    </row>
    <row r="157" spans="1:11" s="165" customFormat="1" ht="15" customHeight="1">
      <c r="A157" s="1011"/>
      <c r="B157" s="992"/>
      <c r="C157" s="995"/>
      <c r="D157" s="1014"/>
      <c r="E157" s="344" t="s">
        <v>608</v>
      </c>
      <c r="F157" s="347">
        <f>G157+H157+I157</f>
        <v>333000</v>
      </c>
      <c r="G157" s="166"/>
      <c r="H157" s="169">
        <v>190000</v>
      </c>
      <c r="I157" s="166">
        <v>143000</v>
      </c>
      <c r="J157" s="325"/>
      <c r="K157" s="164"/>
    </row>
    <row r="158" spans="1:11" s="165" customFormat="1" ht="21" customHeight="1">
      <c r="A158" s="1011"/>
      <c r="B158" s="990" t="s">
        <v>706</v>
      </c>
      <c r="C158" s="993" t="s">
        <v>500</v>
      </c>
      <c r="D158" s="1015" t="s">
        <v>448</v>
      </c>
      <c r="E158" s="362" t="s">
        <v>604</v>
      </c>
      <c r="F158" s="348">
        <f>SUM(F159:F162)</f>
        <v>1060000</v>
      </c>
      <c r="G158" s="168">
        <f>SUM(G159:G162)</f>
        <v>334600</v>
      </c>
      <c r="H158" s="348">
        <f>SUM(H159:H162)</f>
        <v>0</v>
      </c>
      <c r="I158" s="168">
        <f>SUM(I159:I162)</f>
        <v>0</v>
      </c>
      <c r="J158" s="325"/>
      <c r="K158" s="164"/>
    </row>
    <row r="159" spans="1:11" s="165" customFormat="1" ht="15" customHeight="1">
      <c r="A159" s="1011"/>
      <c r="B159" s="991"/>
      <c r="C159" s="994"/>
      <c r="D159" s="1016"/>
      <c r="E159" s="327" t="s">
        <v>605</v>
      </c>
      <c r="F159" s="169">
        <f>G159+H159+I159</f>
        <v>0</v>
      </c>
      <c r="G159" s="166"/>
      <c r="H159" s="169"/>
      <c r="I159" s="166"/>
      <c r="J159" s="325"/>
      <c r="K159" s="164"/>
    </row>
    <row r="160" spans="1:11" s="165" customFormat="1" ht="15" customHeight="1">
      <c r="A160" s="1011"/>
      <c r="B160" s="991"/>
      <c r="C160" s="994"/>
      <c r="D160" s="1016"/>
      <c r="E160" s="327" t="s">
        <v>606</v>
      </c>
      <c r="F160" s="169">
        <f>G160+H160+I160+11400</f>
        <v>19700</v>
      </c>
      <c r="G160" s="166">
        <v>8300</v>
      </c>
      <c r="H160" s="169"/>
      <c r="I160" s="166"/>
      <c r="J160" s="325"/>
      <c r="K160" s="164"/>
    </row>
    <row r="161" spans="1:11" s="165" customFormat="1" ht="15" customHeight="1">
      <c r="A161" s="1011"/>
      <c r="B161" s="991"/>
      <c r="C161" s="994"/>
      <c r="D161" s="1016"/>
      <c r="E161" s="327" t="s">
        <v>607</v>
      </c>
      <c r="F161" s="169">
        <f>G161+H161+I161</f>
        <v>0</v>
      </c>
      <c r="G161" s="166"/>
      <c r="H161" s="169"/>
      <c r="I161" s="166"/>
      <c r="J161" s="325"/>
      <c r="K161" s="164"/>
    </row>
    <row r="162" spans="1:11" s="165" customFormat="1" ht="15" customHeight="1">
      <c r="A162" s="1011"/>
      <c r="B162" s="992"/>
      <c r="C162" s="995"/>
      <c r="D162" s="1017"/>
      <c r="E162" s="344" t="s">
        <v>608</v>
      </c>
      <c r="F162" s="347">
        <f>G162+H162+I162+714000</f>
        <v>1040300</v>
      </c>
      <c r="G162" s="166">
        <v>326300</v>
      </c>
      <c r="H162" s="169"/>
      <c r="I162" s="166"/>
      <c r="J162" s="325"/>
      <c r="K162" s="164"/>
    </row>
    <row r="163" spans="1:11" s="165" customFormat="1" ht="21" customHeight="1" thickBot="1">
      <c r="A163" s="1011"/>
      <c r="B163" s="990" t="s">
        <v>636</v>
      </c>
      <c r="C163" s="993" t="s">
        <v>500</v>
      </c>
      <c r="D163" s="996" t="s">
        <v>632</v>
      </c>
      <c r="E163" s="362" t="s">
        <v>604</v>
      </c>
      <c r="F163" s="348">
        <f>SUM(F164:F167)</f>
        <v>12000000</v>
      </c>
      <c r="G163" s="168">
        <f>SUM(G164:G167)</f>
        <v>0</v>
      </c>
      <c r="H163" s="348">
        <f>SUM(H164:H167)</f>
        <v>2000000</v>
      </c>
      <c r="I163" s="168">
        <f>SUM(I164:I167)</f>
        <v>2000000</v>
      </c>
      <c r="J163" s="349"/>
      <c r="K163" s="164"/>
    </row>
    <row r="164" spans="1:11" s="165" customFormat="1" ht="15" customHeight="1">
      <c r="A164" s="1011"/>
      <c r="B164" s="991"/>
      <c r="C164" s="994"/>
      <c r="D164" s="997"/>
      <c r="E164" s="327" t="s">
        <v>605</v>
      </c>
      <c r="F164" s="169">
        <f>G164+H164+I164</f>
        <v>0</v>
      </c>
      <c r="G164" s="166"/>
      <c r="H164" s="169"/>
      <c r="I164" s="166"/>
      <c r="J164" s="325"/>
      <c r="K164" s="164"/>
    </row>
    <row r="165" spans="1:11" s="165" customFormat="1" ht="15" customHeight="1">
      <c r="A165" s="1011"/>
      <c r="B165" s="991"/>
      <c r="C165" s="994"/>
      <c r="D165" s="997"/>
      <c r="E165" s="327" t="s">
        <v>606</v>
      </c>
      <c r="F165" s="169">
        <f>G165+H165+I165+H165*4</f>
        <v>600000</v>
      </c>
      <c r="G165" s="166"/>
      <c r="H165" s="169">
        <v>100000</v>
      </c>
      <c r="I165" s="166">
        <f>H165</f>
        <v>100000</v>
      </c>
      <c r="J165" s="325"/>
      <c r="K165" s="164"/>
    </row>
    <row r="166" spans="1:11" s="165" customFormat="1" ht="15" customHeight="1">
      <c r="A166" s="1011"/>
      <c r="B166" s="991"/>
      <c r="C166" s="994"/>
      <c r="D166" s="997"/>
      <c r="E166" s="327" t="s">
        <v>607</v>
      </c>
      <c r="F166" s="169">
        <f>G166+H166+I166+H166*4</f>
        <v>11400000</v>
      </c>
      <c r="G166" s="166"/>
      <c r="H166" s="169">
        <v>1900000</v>
      </c>
      <c r="I166" s="166">
        <f>H166</f>
        <v>1900000</v>
      </c>
      <c r="J166" s="325"/>
      <c r="K166" s="164"/>
    </row>
    <row r="167" spans="1:11" s="165" customFormat="1" ht="15" customHeight="1">
      <c r="A167" s="1011"/>
      <c r="B167" s="992"/>
      <c r="C167" s="995"/>
      <c r="D167" s="998"/>
      <c r="E167" s="344" t="s">
        <v>608</v>
      </c>
      <c r="F167" s="347">
        <f>G167+H167+I167</f>
        <v>0</v>
      </c>
      <c r="G167" s="354"/>
      <c r="H167" s="347"/>
      <c r="I167" s="354"/>
      <c r="J167" s="325"/>
      <c r="K167" s="164"/>
    </row>
    <row r="168" spans="1:11" s="165" customFormat="1" ht="21" customHeight="1">
      <c r="A168" s="1011"/>
      <c r="B168" s="990" t="s">
        <v>637</v>
      </c>
      <c r="C168" s="993" t="s">
        <v>500</v>
      </c>
      <c r="D168" s="1012" t="s">
        <v>638</v>
      </c>
      <c r="E168" s="362" t="s">
        <v>604</v>
      </c>
      <c r="F168" s="348">
        <f>SUM(F169:F172)</f>
        <v>1000000</v>
      </c>
      <c r="G168" s="168">
        <f>SUM(G169:G172)</f>
        <v>0</v>
      </c>
      <c r="H168" s="348">
        <f>SUM(H169:H172)</f>
        <v>0</v>
      </c>
      <c r="I168" s="168">
        <f>SUM(I169:I172)</f>
        <v>500000</v>
      </c>
      <c r="J168" s="325"/>
      <c r="K168" s="164"/>
    </row>
    <row r="169" spans="1:11" s="165" customFormat="1" ht="15" customHeight="1">
      <c r="A169" s="1011"/>
      <c r="B169" s="991"/>
      <c r="C169" s="994"/>
      <c r="D169" s="1013"/>
      <c r="E169" s="327" t="s">
        <v>605</v>
      </c>
      <c r="F169" s="169">
        <f>G169+H169+I169</f>
        <v>0</v>
      </c>
      <c r="G169" s="166"/>
      <c r="H169" s="169"/>
      <c r="I169" s="166"/>
      <c r="J169" s="325"/>
      <c r="K169" s="164"/>
    </row>
    <row r="170" spans="1:11" s="165" customFormat="1" ht="15" customHeight="1">
      <c r="A170" s="1011"/>
      <c r="B170" s="991"/>
      <c r="C170" s="994"/>
      <c r="D170" s="1013"/>
      <c r="E170" s="327" t="s">
        <v>606</v>
      </c>
      <c r="F170" s="169">
        <f>G170+H170+I170*2</f>
        <v>50000</v>
      </c>
      <c r="G170" s="166"/>
      <c r="H170" s="169"/>
      <c r="I170" s="166">
        <v>25000</v>
      </c>
      <c r="J170" s="325"/>
      <c r="K170" s="164"/>
    </row>
    <row r="171" spans="1:11" s="165" customFormat="1" ht="15" customHeight="1">
      <c r="A171" s="1011"/>
      <c r="B171" s="991"/>
      <c r="C171" s="994"/>
      <c r="D171" s="1013"/>
      <c r="E171" s="327" t="s">
        <v>607</v>
      </c>
      <c r="F171" s="169">
        <f>G171+H171+I171*2</f>
        <v>950000</v>
      </c>
      <c r="G171" s="166"/>
      <c r="H171" s="169"/>
      <c r="I171" s="166">
        <v>475000</v>
      </c>
      <c r="J171" s="325"/>
      <c r="K171" s="164"/>
    </row>
    <row r="172" spans="1:11" s="165" customFormat="1" ht="15" customHeight="1">
      <c r="A172" s="1011"/>
      <c r="B172" s="992"/>
      <c r="C172" s="995"/>
      <c r="D172" s="1014"/>
      <c r="E172" s="344" t="s">
        <v>608</v>
      </c>
      <c r="F172" s="347">
        <f>G172+H172+I172</f>
        <v>0</v>
      </c>
      <c r="G172" s="166"/>
      <c r="H172" s="169"/>
      <c r="I172" s="166"/>
      <c r="J172" s="325"/>
      <c r="K172" s="164"/>
    </row>
    <row r="173" spans="1:11" s="165" customFormat="1" ht="21" customHeight="1" thickBot="1">
      <c r="A173" s="1011"/>
      <c r="B173" s="990" t="s">
        <v>437</v>
      </c>
      <c r="C173" s="993" t="s">
        <v>500</v>
      </c>
      <c r="D173" s="996" t="s">
        <v>506</v>
      </c>
      <c r="E173" s="362" t="s">
        <v>604</v>
      </c>
      <c r="F173" s="348">
        <f>SUM(F174:F177)</f>
        <v>245500</v>
      </c>
      <c r="G173" s="168">
        <f>SUM(G174:G177)</f>
        <v>90000</v>
      </c>
      <c r="H173" s="348">
        <f>SUM(H174:H177)</f>
        <v>90000</v>
      </c>
      <c r="I173" s="168">
        <f>SUM(I174:I177)</f>
        <v>0</v>
      </c>
      <c r="J173" s="349"/>
      <c r="K173" s="164"/>
    </row>
    <row r="174" spans="1:11" s="165" customFormat="1" ht="15" customHeight="1">
      <c r="A174" s="1011"/>
      <c r="B174" s="991"/>
      <c r="C174" s="994"/>
      <c r="D174" s="997"/>
      <c r="E174" s="327" t="s">
        <v>605</v>
      </c>
      <c r="F174" s="169">
        <f>G174+H174+I174</f>
        <v>0</v>
      </c>
      <c r="G174" s="166"/>
      <c r="H174" s="169"/>
      <c r="I174" s="166"/>
      <c r="J174" s="325"/>
      <c r="K174" s="164"/>
    </row>
    <row r="175" spans="1:11" s="165" customFormat="1" ht="15" customHeight="1">
      <c r="A175" s="1011"/>
      <c r="B175" s="991"/>
      <c r="C175" s="994"/>
      <c r="D175" s="997"/>
      <c r="E175" s="327" t="s">
        <v>606</v>
      </c>
      <c r="F175" s="169">
        <f>G175+H175+I175+65500</f>
        <v>235500</v>
      </c>
      <c r="G175" s="166">
        <v>90000</v>
      </c>
      <c r="H175" s="169">
        <v>80000</v>
      </c>
      <c r="I175" s="166"/>
      <c r="J175" s="325"/>
      <c r="K175" s="164"/>
    </row>
    <row r="176" spans="1:11" s="165" customFormat="1" ht="15" customHeight="1">
      <c r="A176" s="1011"/>
      <c r="B176" s="991"/>
      <c r="C176" s="994"/>
      <c r="D176" s="997"/>
      <c r="E176" s="327" t="s">
        <v>607</v>
      </c>
      <c r="F176" s="169">
        <f>G176+H176+I176</f>
        <v>0</v>
      </c>
      <c r="G176" s="166"/>
      <c r="H176" s="169"/>
      <c r="I176" s="166"/>
      <c r="J176" s="325"/>
      <c r="K176" s="164"/>
    </row>
    <row r="177" spans="1:11" s="165" customFormat="1" ht="15" customHeight="1">
      <c r="A177" s="1022"/>
      <c r="B177" s="992"/>
      <c r="C177" s="995"/>
      <c r="D177" s="998"/>
      <c r="E177" s="344" t="s">
        <v>608</v>
      </c>
      <c r="F177" s="347">
        <f>G177+H177+I177</f>
        <v>10000</v>
      </c>
      <c r="G177" s="354"/>
      <c r="H177" s="347">
        <v>10000</v>
      </c>
      <c r="I177" s="354"/>
      <c r="J177" s="325"/>
      <c r="K177" s="164"/>
    </row>
    <row r="178" spans="1:12" s="155" customFormat="1" ht="5.25" customHeight="1" thickBot="1">
      <c r="A178" s="358"/>
      <c r="B178" s="359"/>
      <c r="C178" s="359"/>
      <c r="D178" s="359"/>
      <c r="E178" s="359"/>
      <c r="F178" s="359"/>
      <c r="G178" s="359"/>
      <c r="H178" s="359"/>
      <c r="I178" s="359"/>
      <c r="J178" s="359"/>
      <c r="K178" s="360"/>
      <c r="L178" s="361"/>
    </row>
    <row r="179" spans="1:11" s="158" customFormat="1" ht="14.25" customHeight="1">
      <c r="A179" s="981" t="s">
        <v>596</v>
      </c>
      <c r="B179" s="981" t="s">
        <v>146</v>
      </c>
      <c r="C179" s="984" t="s">
        <v>623</v>
      </c>
      <c r="D179" s="987" t="s">
        <v>597</v>
      </c>
      <c r="E179" s="967" t="s">
        <v>598</v>
      </c>
      <c r="F179" s="968"/>
      <c r="G179" s="973" t="s">
        <v>610</v>
      </c>
      <c r="H179" s="974"/>
      <c r="I179" s="975"/>
      <c r="J179" s="214"/>
      <c r="K179" s="157"/>
    </row>
    <row r="180" spans="1:11" s="158" customFormat="1" ht="14.25" customHeight="1">
      <c r="A180" s="982"/>
      <c r="B180" s="982"/>
      <c r="C180" s="985"/>
      <c r="D180" s="988"/>
      <c r="E180" s="969"/>
      <c r="F180" s="970"/>
      <c r="G180" s="976"/>
      <c r="H180" s="977"/>
      <c r="I180" s="978"/>
      <c r="J180" s="223"/>
      <c r="K180" s="157"/>
    </row>
    <row r="181" spans="1:11" s="158" customFormat="1" ht="9.75" customHeight="1">
      <c r="A181" s="982"/>
      <c r="B181" s="982"/>
      <c r="C181" s="985"/>
      <c r="D181" s="988"/>
      <c r="E181" s="969"/>
      <c r="F181" s="970"/>
      <c r="G181" s="979" t="s">
        <v>609</v>
      </c>
      <c r="H181" s="979" t="s">
        <v>415</v>
      </c>
      <c r="I181" s="979" t="s">
        <v>495</v>
      </c>
      <c r="J181" s="212" t="s">
        <v>497</v>
      </c>
      <c r="K181" s="157"/>
    </row>
    <row r="182" spans="1:11" s="158" customFormat="1" ht="9" customHeight="1">
      <c r="A182" s="983"/>
      <c r="B182" s="983"/>
      <c r="C182" s="986"/>
      <c r="D182" s="989"/>
      <c r="E182" s="971"/>
      <c r="F182" s="972"/>
      <c r="G182" s="980"/>
      <c r="H182" s="980"/>
      <c r="I182" s="980"/>
      <c r="J182" s="213"/>
      <c r="K182" s="157"/>
    </row>
    <row r="183" spans="1:11" s="171" customFormat="1" ht="10.5" customHeight="1">
      <c r="A183" s="342">
        <v>1</v>
      </c>
      <c r="B183" s="342">
        <v>2</v>
      </c>
      <c r="C183" s="343">
        <v>3</v>
      </c>
      <c r="D183" s="342">
        <v>4</v>
      </c>
      <c r="E183" s="966">
        <v>5</v>
      </c>
      <c r="F183" s="966"/>
      <c r="G183" s="343">
        <v>6</v>
      </c>
      <c r="H183" s="343">
        <v>7</v>
      </c>
      <c r="I183" s="343">
        <v>8</v>
      </c>
      <c r="J183" s="357">
        <v>10</v>
      </c>
      <c r="K183" s="170"/>
    </row>
    <row r="184" spans="1:11" s="165" customFormat="1" ht="21" customHeight="1" thickBot="1">
      <c r="A184" s="1024" t="s">
        <v>634</v>
      </c>
      <c r="B184" s="990" t="s">
        <v>639</v>
      </c>
      <c r="C184" s="993" t="s">
        <v>500</v>
      </c>
      <c r="D184" s="996">
        <v>2009</v>
      </c>
      <c r="E184" s="362" t="s">
        <v>604</v>
      </c>
      <c r="F184" s="348">
        <f>SUM(F185:F188)</f>
        <v>80000</v>
      </c>
      <c r="G184" s="168">
        <f>SUM(G185:G188)</f>
        <v>0</v>
      </c>
      <c r="H184" s="348">
        <f>SUM(H185:H188)</f>
        <v>80000</v>
      </c>
      <c r="I184" s="168">
        <f>SUM(I185:I188)</f>
        <v>0</v>
      </c>
      <c r="J184" s="349"/>
      <c r="K184" s="164"/>
    </row>
    <row r="185" spans="1:11" s="165" customFormat="1" ht="15" customHeight="1">
      <c r="A185" s="1024"/>
      <c r="B185" s="991"/>
      <c r="C185" s="994"/>
      <c r="D185" s="997"/>
      <c r="E185" s="327" t="s">
        <v>605</v>
      </c>
      <c r="F185" s="169">
        <f>G185+H185+I185</f>
        <v>0</v>
      </c>
      <c r="G185" s="166"/>
      <c r="H185" s="169"/>
      <c r="I185" s="166"/>
      <c r="J185" s="325"/>
      <c r="K185" s="164"/>
    </row>
    <row r="186" spans="1:11" s="165" customFormat="1" ht="15" customHeight="1">
      <c r="A186" s="1024"/>
      <c r="B186" s="991"/>
      <c r="C186" s="994"/>
      <c r="D186" s="997"/>
      <c r="E186" s="327" t="s">
        <v>606</v>
      </c>
      <c r="F186" s="169">
        <f>G186+H186+I186</f>
        <v>4000</v>
      </c>
      <c r="G186" s="166"/>
      <c r="H186" s="169">
        <v>4000</v>
      </c>
      <c r="I186" s="166"/>
      <c r="J186" s="325"/>
      <c r="K186" s="164"/>
    </row>
    <row r="187" spans="1:11" s="165" customFormat="1" ht="15" customHeight="1">
      <c r="A187" s="1024"/>
      <c r="B187" s="991"/>
      <c r="C187" s="994"/>
      <c r="D187" s="997"/>
      <c r="E187" s="327" t="s">
        <v>607</v>
      </c>
      <c r="F187" s="169">
        <f>G187+H187+I187</f>
        <v>76000</v>
      </c>
      <c r="G187" s="166"/>
      <c r="H187" s="169">
        <v>76000</v>
      </c>
      <c r="I187" s="166"/>
      <c r="J187" s="325"/>
      <c r="K187" s="164"/>
    </row>
    <row r="188" spans="1:11" s="165" customFormat="1" ht="15" customHeight="1">
      <c r="A188" s="1025"/>
      <c r="B188" s="992"/>
      <c r="C188" s="995"/>
      <c r="D188" s="998"/>
      <c r="E188" s="344" t="s">
        <v>608</v>
      </c>
      <c r="F188" s="347">
        <f>G188+H188+I188</f>
        <v>0</v>
      </c>
      <c r="G188" s="354"/>
      <c r="H188" s="347"/>
      <c r="I188" s="354"/>
      <c r="J188" s="325"/>
      <c r="K188" s="164"/>
    </row>
    <row r="189" spans="1:11" s="165" customFormat="1" ht="20.25" customHeight="1" thickBot="1">
      <c r="A189" s="1010" t="s">
        <v>640</v>
      </c>
      <c r="B189" s="990" t="s">
        <v>585</v>
      </c>
      <c r="C189" s="960" t="s">
        <v>500</v>
      </c>
      <c r="D189" s="963" t="s">
        <v>448</v>
      </c>
      <c r="E189" s="362" t="s">
        <v>604</v>
      </c>
      <c r="F189" s="348">
        <f>SUM(F190:F193)</f>
        <v>800000</v>
      </c>
      <c r="G189" s="168">
        <f>SUM(G190:G193)</f>
        <v>800000</v>
      </c>
      <c r="H189" s="348">
        <f>SUM(H190:H193)</f>
        <v>0</v>
      </c>
      <c r="I189" s="168">
        <f>SUM(I190:I193)</f>
        <v>0</v>
      </c>
      <c r="J189" s="224">
        <v>26400</v>
      </c>
      <c r="K189" s="164"/>
    </row>
    <row r="190" spans="1:11" s="165" customFormat="1" ht="15" customHeight="1">
      <c r="A190" s="1011"/>
      <c r="B190" s="991"/>
      <c r="C190" s="961"/>
      <c r="D190" s="964"/>
      <c r="E190" s="327" t="s">
        <v>605</v>
      </c>
      <c r="F190" s="169">
        <f>G190+H190+I190</f>
        <v>680000</v>
      </c>
      <c r="G190" s="166">
        <v>680000</v>
      </c>
      <c r="H190" s="169"/>
      <c r="I190" s="166"/>
      <c r="J190" s="325"/>
      <c r="K190" s="164"/>
    </row>
    <row r="191" spans="1:11" s="165" customFormat="1" ht="15" customHeight="1">
      <c r="A191" s="1011"/>
      <c r="B191" s="991"/>
      <c r="C191" s="961"/>
      <c r="D191" s="964"/>
      <c r="E191" s="327" t="s">
        <v>606</v>
      </c>
      <c r="F191" s="169">
        <f>G191+H191+I191</f>
        <v>20000</v>
      </c>
      <c r="G191" s="166">
        <v>20000</v>
      </c>
      <c r="H191" s="169"/>
      <c r="I191" s="166"/>
      <c r="J191" s="325"/>
      <c r="K191" s="164"/>
    </row>
    <row r="192" spans="1:11" s="165" customFormat="1" ht="15" customHeight="1">
      <c r="A192" s="1011"/>
      <c r="B192" s="991"/>
      <c r="C192" s="961"/>
      <c r="D192" s="964"/>
      <c r="E192" s="327" t="s">
        <v>607</v>
      </c>
      <c r="F192" s="169">
        <f>G192+H192+I192</f>
        <v>75000</v>
      </c>
      <c r="G192" s="166">
        <v>75000</v>
      </c>
      <c r="H192" s="169"/>
      <c r="I192" s="166"/>
      <c r="J192" s="325"/>
      <c r="K192" s="164"/>
    </row>
    <row r="193" spans="1:11" s="165" customFormat="1" ht="15" customHeight="1">
      <c r="A193" s="1011"/>
      <c r="B193" s="992"/>
      <c r="C193" s="962"/>
      <c r="D193" s="965"/>
      <c r="E193" s="344" t="s">
        <v>608</v>
      </c>
      <c r="F193" s="347">
        <f>G193+H193+I193</f>
        <v>25000</v>
      </c>
      <c r="G193" s="354">
        <v>25000</v>
      </c>
      <c r="H193" s="347"/>
      <c r="I193" s="354"/>
      <c r="J193" s="325"/>
      <c r="K193" s="164"/>
    </row>
    <row r="194" spans="1:11" s="165" customFormat="1" ht="20.25" customHeight="1" thickBot="1">
      <c r="A194" s="1011"/>
      <c r="B194" s="990" t="s">
        <v>718</v>
      </c>
      <c r="C194" s="960" t="s">
        <v>500</v>
      </c>
      <c r="D194" s="963" t="s">
        <v>448</v>
      </c>
      <c r="E194" s="362" t="s">
        <v>604</v>
      </c>
      <c r="F194" s="348">
        <f>SUM(F195:F198)</f>
        <v>112300</v>
      </c>
      <c r="G194" s="168">
        <f>SUM(G195:G198)</f>
        <v>5000</v>
      </c>
      <c r="H194" s="348">
        <f>SUM(H195:H198)</f>
        <v>0</v>
      </c>
      <c r="I194" s="168">
        <f>SUM(I195:I198)</f>
        <v>0</v>
      </c>
      <c r="J194" s="224">
        <v>26400</v>
      </c>
      <c r="K194" s="164"/>
    </row>
    <row r="195" spans="1:11" s="165" customFormat="1" ht="15" customHeight="1">
      <c r="A195" s="1011"/>
      <c r="B195" s="991"/>
      <c r="C195" s="961"/>
      <c r="D195" s="964"/>
      <c r="E195" s="327" t="s">
        <v>605</v>
      </c>
      <c r="F195" s="169">
        <f>G195+H195+I195</f>
        <v>0</v>
      </c>
      <c r="G195" s="166"/>
      <c r="H195" s="169"/>
      <c r="I195" s="166"/>
      <c r="J195" s="325"/>
      <c r="K195" s="164"/>
    </row>
    <row r="196" spans="1:11" s="165" customFormat="1" ht="15" customHeight="1">
      <c r="A196" s="1011"/>
      <c r="B196" s="991"/>
      <c r="C196" s="961"/>
      <c r="D196" s="964"/>
      <c r="E196" s="327" t="s">
        <v>606</v>
      </c>
      <c r="F196" s="169">
        <f>G196+H196+I196+600</f>
        <v>5600</v>
      </c>
      <c r="G196" s="166">
        <v>5000</v>
      </c>
      <c r="H196" s="169"/>
      <c r="I196" s="166"/>
      <c r="J196" s="325"/>
      <c r="K196" s="164"/>
    </row>
    <row r="197" spans="1:11" s="165" customFormat="1" ht="15" customHeight="1">
      <c r="A197" s="1011"/>
      <c r="B197" s="991"/>
      <c r="C197" s="961"/>
      <c r="D197" s="964"/>
      <c r="E197" s="327" t="s">
        <v>607</v>
      </c>
      <c r="F197" s="169">
        <f>G197+H197+I197+80300</f>
        <v>80300</v>
      </c>
      <c r="G197" s="166"/>
      <c r="H197" s="169"/>
      <c r="I197" s="166"/>
      <c r="J197" s="325"/>
      <c r="K197" s="164"/>
    </row>
    <row r="198" spans="1:11" s="165" customFormat="1" ht="15" customHeight="1">
      <c r="A198" s="1022"/>
      <c r="B198" s="992"/>
      <c r="C198" s="962"/>
      <c r="D198" s="965"/>
      <c r="E198" s="344" t="s">
        <v>608</v>
      </c>
      <c r="F198" s="347">
        <f>G198+H198+I198+26400</f>
        <v>26400</v>
      </c>
      <c r="G198" s="354"/>
      <c r="H198" s="347"/>
      <c r="I198" s="354"/>
      <c r="J198" s="325"/>
      <c r="K198" s="164"/>
    </row>
    <row r="199" spans="1:11" s="165" customFormat="1" ht="19.5" customHeight="1" thickBot="1">
      <c r="A199" s="1010" t="s">
        <v>51</v>
      </c>
      <c r="B199" s="990" t="s">
        <v>52</v>
      </c>
      <c r="C199" s="960" t="s">
        <v>500</v>
      </c>
      <c r="D199" s="963">
        <v>2009</v>
      </c>
      <c r="E199" s="362" t="s">
        <v>604</v>
      </c>
      <c r="F199" s="348">
        <f>SUM(F200:F203)</f>
        <v>10000000</v>
      </c>
      <c r="G199" s="168">
        <f>SUM(G200:G203)</f>
        <v>0</v>
      </c>
      <c r="H199" s="348">
        <f>SUM(H200:H203)</f>
        <v>10000000</v>
      </c>
      <c r="I199" s="168">
        <f>SUM(I200:I203)</f>
        <v>0</v>
      </c>
      <c r="J199" s="224">
        <v>26400</v>
      </c>
      <c r="K199" s="164"/>
    </row>
    <row r="200" spans="1:11" s="165" customFormat="1" ht="15" customHeight="1">
      <c r="A200" s="1011"/>
      <c r="B200" s="991"/>
      <c r="C200" s="961"/>
      <c r="D200" s="964"/>
      <c r="E200" s="327" t="s">
        <v>605</v>
      </c>
      <c r="F200" s="169">
        <f>G200+H200+I200</f>
        <v>0</v>
      </c>
      <c r="G200" s="166"/>
      <c r="H200" s="169"/>
      <c r="I200" s="166"/>
      <c r="J200" s="325"/>
      <c r="K200" s="164"/>
    </row>
    <row r="201" spans="1:11" s="165" customFormat="1" ht="15" customHeight="1">
      <c r="A201" s="1011"/>
      <c r="B201" s="991"/>
      <c r="C201" s="961"/>
      <c r="D201" s="964"/>
      <c r="E201" s="327" t="s">
        <v>606</v>
      </c>
      <c r="F201" s="169">
        <f>G201+H201+I201</f>
        <v>0</v>
      </c>
      <c r="G201" s="166"/>
      <c r="H201" s="169"/>
      <c r="I201" s="166"/>
      <c r="J201" s="325"/>
      <c r="K201" s="164"/>
    </row>
    <row r="202" spans="1:11" s="165" customFormat="1" ht="15" customHeight="1">
      <c r="A202" s="1011"/>
      <c r="B202" s="991"/>
      <c r="C202" s="961"/>
      <c r="D202" s="964"/>
      <c r="E202" s="327" t="s">
        <v>607</v>
      </c>
      <c r="F202" s="169">
        <f>G202+H202+I202</f>
        <v>0</v>
      </c>
      <c r="G202" s="166"/>
      <c r="H202" s="169"/>
      <c r="I202" s="166"/>
      <c r="J202" s="325"/>
      <c r="K202" s="164"/>
    </row>
    <row r="203" spans="1:11" s="165" customFormat="1" ht="15" customHeight="1">
      <c r="A203" s="1011"/>
      <c r="B203" s="992"/>
      <c r="C203" s="962"/>
      <c r="D203" s="965"/>
      <c r="E203" s="344" t="s">
        <v>608</v>
      </c>
      <c r="F203" s="347">
        <f>G203+H203+I203</f>
        <v>10000000</v>
      </c>
      <c r="G203" s="354"/>
      <c r="H203" s="347">
        <v>10000000</v>
      </c>
      <c r="I203" s="354"/>
      <c r="J203" s="325"/>
      <c r="K203" s="164"/>
    </row>
    <row r="204" spans="1:11" s="165" customFormat="1" ht="20.25" customHeight="1" thickBot="1">
      <c r="A204" s="1011"/>
      <c r="B204" s="990" t="s">
        <v>53</v>
      </c>
      <c r="C204" s="960" t="s">
        <v>500</v>
      </c>
      <c r="D204" s="963">
        <v>2009</v>
      </c>
      <c r="E204" s="362" t="s">
        <v>604</v>
      </c>
      <c r="F204" s="348">
        <f>SUM(F205:F208)</f>
        <v>10000000</v>
      </c>
      <c r="G204" s="168">
        <f>SUM(G205:G208)</f>
        <v>0</v>
      </c>
      <c r="H204" s="348">
        <f>SUM(H205:H208)</f>
        <v>0</v>
      </c>
      <c r="I204" s="168">
        <f>SUM(I205:I208)</f>
        <v>10000000</v>
      </c>
      <c r="J204" s="224">
        <v>26400</v>
      </c>
      <c r="K204" s="164"/>
    </row>
    <row r="205" spans="1:11" s="165" customFormat="1" ht="15" customHeight="1">
      <c r="A205" s="1011"/>
      <c r="B205" s="991"/>
      <c r="C205" s="961"/>
      <c r="D205" s="964"/>
      <c r="E205" s="327" t="s">
        <v>605</v>
      </c>
      <c r="F205" s="169">
        <f>G205+H205+I205</f>
        <v>0</v>
      </c>
      <c r="G205" s="166"/>
      <c r="H205" s="169"/>
      <c r="I205" s="166"/>
      <c r="J205" s="325"/>
      <c r="K205" s="164"/>
    </row>
    <row r="206" spans="1:11" s="165" customFormat="1" ht="15" customHeight="1">
      <c r="A206" s="1011"/>
      <c r="B206" s="991"/>
      <c r="C206" s="961"/>
      <c r="D206" s="964"/>
      <c r="E206" s="327" t="s">
        <v>606</v>
      </c>
      <c r="F206" s="169">
        <f>G206+H206+I206</f>
        <v>0</v>
      </c>
      <c r="G206" s="166"/>
      <c r="H206" s="169"/>
      <c r="I206" s="166"/>
      <c r="J206" s="325"/>
      <c r="K206" s="164"/>
    </row>
    <row r="207" spans="1:11" s="165" customFormat="1" ht="15" customHeight="1">
      <c r="A207" s="1011"/>
      <c r="B207" s="991"/>
      <c r="C207" s="961"/>
      <c r="D207" s="964"/>
      <c r="E207" s="327" t="s">
        <v>607</v>
      </c>
      <c r="F207" s="169">
        <f>G207+H207+I207</f>
        <v>0</v>
      </c>
      <c r="G207" s="166"/>
      <c r="H207" s="169"/>
      <c r="I207" s="166"/>
      <c r="J207" s="325"/>
      <c r="K207" s="164"/>
    </row>
    <row r="208" spans="1:11" s="165" customFormat="1" ht="15" customHeight="1" thickBot="1">
      <c r="A208" s="1011"/>
      <c r="B208" s="991"/>
      <c r="C208" s="961"/>
      <c r="D208" s="964"/>
      <c r="E208" s="327" t="s">
        <v>608</v>
      </c>
      <c r="F208" s="169">
        <f>G208+H208+I208</f>
        <v>10000000</v>
      </c>
      <c r="G208" s="166"/>
      <c r="H208" s="169"/>
      <c r="I208" s="166">
        <v>10000000</v>
      </c>
      <c r="J208" s="325"/>
      <c r="K208" s="164"/>
    </row>
    <row r="209" spans="1:11" s="165" customFormat="1" ht="20.25" customHeight="1" thickBot="1">
      <c r="A209" s="999"/>
      <c r="B209" s="1002" t="s">
        <v>459</v>
      </c>
      <c r="C209" s="1003"/>
      <c r="D209" s="1004"/>
      <c r="E209" s="365" t="s">
        <v>604</v>
      </c>
      <c r="F209" s="353">
        <f>SUM(F210:F213)</f>
        <v>52825400</v>
      </c>
      <c r="G209" s="163">
        <f>SUM(G210:G213)</f>
        <v>13401400</v>
      </c>
      <c r="H209" s="366">
        <f>SUM(H210:H213)</f>
        <v>22302000</v>
      </c>
      <c r="I209" s="367">
        <f>SUM(I210:I213)</f>
        <v>17122000</v>
      </c>
      <c r="J209" s="224">
        <v>26400</v>
      </c>
      <c r="K209" s="164"/>
    </row>
    <row r="210" spans="1:11" s="165" customFormat="1" ht="16.5" customHeight="1">
      <c r="A210" s="1000"/>
      <c r="B210" s="1005"/>
      <c r="C210" s="1006"/>
      <c r="D210" s="1006"/>
      <c r="E210" s="326" t="s">
        <v>605</v>
      </c>
      <c r="F210" s="339">
        <f>G210+H210+I210</f>
        <v>16415000</v>
      </c>
      <c r="G210" s="325">
        <f>G205+G200+G190+G185+G174+G169+G164+G154+G149+G138+G133+G128+G123+G118+G113+G102+G97+G92+G87+G82+G66+G61+G56+G51+G46+G41+G30+G25+G20+G15+G10+G77+G159</f>
        <v>7395000</v>
      </c>
      <c r="H210" s="325">
        <f>H205+H200+H190+H185+H174+H169+H164+H154+H149+H138+H133+H128+H123+H118+H113+H102+H97+H92+H87+H82+H66+H61+H56+H51+H46+H41+H30+H25+H20+H15+H10+H77+H159</f>
        <v>7170000</v>
      </c>
      <c r="I210" s="325">
        <f>I205+I200+I190+I185+I174+I169+I164+I154+I149+I138+I133+I128+I123+I118+I113+I102+I97+I92+I87+I82+I66+I61+I56+I51+I46+I41+I30+I25+I20+I15+I10+I77+I159</f>
        <v>1850000</v>
      </c>
      <c r="J210" s="325"/>
      <c r="K210" s="164"/>
    </row>
    <row r="211" spans="1:11" s="165" customFormat="1" ht="17.25" customHeight="1">
      <c r="A211" s="1000"/>
      <c r="B211" s="1005"/>
      <c r="C211" s="1006"/>
      <c r="D211" s="1006"/>
      <c r="E211" s="363" t="s">
        <v>606</v>
      </c>
      <c r="F211" s="325">
        <f>G211+H211+I211</f>
        <v>3289100</v>
      </c>
      <c r="G211" s="325">
        <f>G206+G201+G191+G186+G175+G170+G165+G155+G150+G139+G134+G129+G124+G119+G114+G103+G98+G93+G88+G83+G67+G62+G57+G52+G47+G42+G31+G26+G21+G16+G11+G196+G160+G78</f>
        <v>1350100</v>
      </c>
      <c r="H211" s="325">
        <f>H206+H201+H191+H186+H175+H170+H165+H155+H150+H139+H134+H129+H124+H119+H114+H103+H98+H93+H88+H83+H67+H62+H57+H52+H47+H42+H31+H26+H21+H16+H11+H196+H160+H78</f>
        <v>1058000</v>
      </c>
      <c r="I211" s="325">
        <f>I206+I201+I191+I186+I175+I170+I165+I155+I150+I139+I134+I129+I124+I119+I114+I103+I98+I93+I88+I83+I67+I62+I57+I52+I47+I42+I31+I26+I21+I16+I11+I196+I160+I78</f>
        <v>881000</v>
      </c>
      <c r="J211" s="325"/>
      <c r="K211" s="164"/>
    </row>
    <row r="212" spans="1:11" s="165" customFormat="1" ht="15.75" customHeight="1">
      <c r="A212" s="1000"/>
      <c r="B212" s="1005"/>
      <c r="C212" s="1006"/>
      <c r="D212" s="1006"/>
      <c r="E212" s="363" t="s">
        <v>607</v>
      </c>
      <c r="F212" s="325">
        <f>G212+H212+I212</f>
        <v>9763500</v>
      </c>
      <c r="G212" s="325">
        <f>G207+G202+G192+G187+G176+G171+G166+G156+G151+G140+G135+G130+G125+G120+G115+G104+G99+G94+G89+G84+G68+G63+G58+G53+G48+G43+G32+G27+G22+G17+G12</f>
        <v>2502500</v>
      </c>
      <c r="H212" s="168">
        <f>H207+H202+H192+H187+H176+H171+H166+H156+H151+H140+H135+H130+H125+H120+H115+H104+H99+H94+H89+H84+H68+H63+H58+H53+H48+H43+H32+H27+H22+H17+H12</f>
        <v>3441000</v>
      </c>
      <c r="I212" s="368">
        <f>I207+I202+I192+I187+I176+I171+I166+I156+I151+I140+I135+I130+I125+I120+I115+I104+I99+I94+I89+I84+I68+I63+I58+I53+I48+I43+I32+I27+I22+I17+I12</f>
        <v>3820000</v>
      </c>
      <c r="J212" s="325"/>
      <c r="K212" s="164"/>
    </row>
    <row r="213" spans="1:11" s="165" customFormat="1" ht="17.25" customHeight="1" thickBot="1">
      <c r="A213" s="1001"/>
      <c r="B213" s="1007"/>
      <c r="C213" s="1008"/>
      <c r="D213" s="1009"/>
      <c r="E213" s="369" t="s">
        <v>608</v>
      </c>
      <c r="F213" s="349">
        <f>G213+H213+I213</f>
        <v>23357800</v>
      </c>
      <c r="G213" s="167">
        <f>G208+G203+G193+G188+G177+G172+G167+G157+G152+G141+G136+G131+G126+G121+G116+G105+G100+G95+G90+G85+G69+G64+G59+G54+G49+G44+G33+G28+G23+G18+G13+G162+G80</f>
        <v>2153800</v>
      </c>
      <c r="H213" s="167">
        <f>H208+H203+H193+H188+H177+H172+H167+H157+H152+H141+H136+H131+H126+H121+H116+H105+H100+H95+H90+H85+H69+H64+H59+H54+H49+H44+H33+H28+H23+H18+H13+H162+H80</f>
        <v>10633000</v>
      </c>
      <c r="I213" s="167">
        <f>I208+I203+I193+I188+I177+I172+I167+I157+I152+I141+I136+I131+I126+I121+I116+I105+I100+I95+I90+I85+I69+I64+I59+I54+I49+I44+I33+I28+I23+I18+I13+I162+I80</f>
        <v>10571000</v>
      </c>
      <c r="J213" s="167">
        <f>J208+J203+J193+J188+J177+J172+J167+J157+J152+J141+J136+J131+J126+J121+J116+J105+J100+J95+J90+J85+J69+J64+J59+J54+J49+J44+J33+J28+J23+J18+J13+J162+J80</f>
        <v>0</v>
      </c>
      <c r="K213" s="164"/>
    </row>
    <row r="214" ht="18.75" customHeight="1">
      <c r="F214" s="161"/>
    </row>
    <row r="215" ht="18.75" customHeight="1">
      <c r="I215" s="294"/>
    </row>
  </sheetData>
  <mergeCells count="179">
    <mergeCell ref="A143:A146"/>
    <mergeCell ref="A86:A105"/>
    <mergeCell ref="A112:A121"/>
    <mergeCell ref="A122:A141"/>
    <mergeCell ref="A107:A110"/>
    <mergeCell ref="C168:C172"/>
    <mergeCell ref="D168:D172"/>
    <mergeCell ref="B173:B177"/>
    <mergeCell ref="C173:C177"/>
    <mergeCell ref="D173:D177"/>
    <mergeCell ref="A189:A198"/>
    <mergeCell ref="A148:A177"/>
    <mergeCell ref="A184:A188"/>
    <mergeCell ref="B168:B172"/>
    <mergeCell ref="B76:B80"/>
    <mergeCell ref="C76:C80"/>
    <mergeCell ref="D76:D80"/>
    <mergeCell ref="A65:A69"/>
    <mergeCell ref="A76:A80"/>
    <mergeCell ref="A71:A74"/>
    <mergeCell ref="A4:A7"/>
    <mergeCell ref="B4:B7"/>
    <mergeCell ref="B14:B18"/>
    <mergeCell ref="B29:B33"/>
    <mergeCell ref="B40:B44"/>
    <mergeCell ref="B45:B49"/>
    <mergeCell ref="B9:B13"/>
    <mergeCell ref="D4:D7"/>
    <mergeCell ref="D29:D33"/>
    <mergeCell ref="D40:D44"/>
    <mergeCell ref="D45:D49"/>
    <mergeCell ref="E4:F7"/>
    <mergeCell ref="D9:D13"/>
    <mergeCell ref="B24:B28"/>
    <mergeCell ref="C9:C13"/>
    <mergeCell ref="C14:C18"/>
    <mergeCell ref="C24:C28"/>
    <mergeCell ref="C4:C7"/>
    <mergeCell ref="E8:F8"/>
    <mergeCell ref="D14:D18"/>
    <mergeCell ref="D24:D28"/>
    <mergeCell ref="A50:A54"/>
    <mergeCell ref="B50:B54"/>
    <mergeCell ref="C50:C54"/>
    <mergeCell ref="D50:D54"/>
    <mergeCell ref="A40:A49"/>
    <mergeCell ref="A1:I1"/>
    <mergeCell ref="B19:B23"/>
    <mergeCell ref="C19:C23"/>
    <mergeCell ref="D19:D23"/>
    <mergeCell ref="A9:A33"/>
    <mergeCell ref="C29:C33"/>
    <mergeCell ref="G4:I5"/>
    <mergeCell ref="G6:G7"/>
    <mergeCell ref="H6:H7"/>
    <mergeCell ref="I6:I7"/>
    <mergeCell ref="B55:B59"/>
    <mergeCell ref="A55:A64"/>
    <mergeCell ref="A81:A85"/>
    <mergeCell ref="B81:B85"/>
    <mergeCell ref="G37:G38"/>
    <mergeCell ref="H37:H38"/>
    <mergeCell ref="I37:I38"/>
    <mergeCell ref="C55:C59"/>
    <mergeCell ref="D55:D59"/>
    <mergeCell ref="E35:F38"/>
    <mergeCell ref="G35:I36"/>
    <mergeCell ref="C40:C44"/>
    <mergeCell ref="C45:C49"/>
    <mergeCell ref="E39:F39"/>
    <mergeCell ref="B60:B64"/>
    <mergeCell ref="C60:C64"/>
    <mergeCell ref="D60:D64"/>
    <mergeCell ref="B158:B162"/>
    <mergeCell ref="C158:C162"/>
    <mergeCell ref="D158:D162"/>
    <mergeCell ref="C81:C85"/>
    <mergeCell ref="D81:D85"/>
    <mergeCell ref="B86:B90"/>
    <mergeCell ref="C86:C90"/>
    <mergeCell ref="G71:I72"/>
    <mergeCell ref="G73:G74"/>
    <mergeCell ref="H73:H74"/>
    <mergeCell ref="I73:I74"/>
    <mergeCell ref="E75:F75"/>
    <mergeCell ref="B65:B69"/>
    <mergeCell ref="C65:C69"/>
    <mergeCell ref="D65:D69"/>
    <mergeCell ref="B71:B74"/>
    <mergeCell ref="C71:C74"/>
    <mergeCell ref="D71:D74"/>
    <mergeCell ref="E71:F74"/>
    <mergeCell ref="A35:A38"/>
    <mergeCell ref="B35:B38"/>
    <mergeCell ref="C35:C38"/>
    <mergeCell ref="D35:D38"/>
    <mergeCell ref="D86:D90"/>
    <mergeCell ref="B91:B95"/>
    <mergeCell ref="C91:C95"/>
    <mergeCell ref="B96:B100"/>
    <mergeCell ref="C96:C100"/>
    <mergeCell ref="D96:D100"/>
    <mergeCell ref="D91:D95"/>
    <mergeCell ref="B101:B105"/>
    <mergeCell ref="C101:C105"/>
    <mergeCell ref="D101:D105"/>
    <mergeCell ref="B112:B116"/>
    <mergeCell ref="C112:C116"/>
    <mergeCell ref="D112:D116"/>
    <mergeCell ref="B107:B110"/>
    <mergeCell ref="C107:C110"/>
    <mergeCell ref="D107:D110"/>
    <mergeCell ref="E107:F110"/>
    <mergeCell ref="G107:I108"/>
    <mergeCell ref="G109:G110"/>
    <mergeCell ref="H109:H110"/>
    <mergeCell ref="I109:I110"/>
    <mergeCell ref="E111:F111"/>
    <mergeCell ref="B122:B126"/>
    <mergeCell ref="C122:C126"/>
    <mergeCell ref="D122:D126"/>
    <mergeCell ref="B117:B121"/>
    <mergeCell ref="C117:C121"/>
    <mergeCell ref="D117:D121"/>
    <mergeCell ref="B127:B131"/>
    <mergeCell ref="C127:C131"/>
    <mergeCell ref="D127:D131"/>
    <mergeCell ref="B132:B136"/>
    <mergeCell ref="C132:C136"/>
    <mergeCell ref="D132:D136"/>
    <mergeCell ref="B137:B141"/>
    <mergeCell ref="C137:C141"/>
    <mergeCell ref="D137:D141"/>
    <mergeCell ref="B148:B152"/>
    <mergeCell ref="C148:C152"/>
    <mergeCell ref="D148:D152"/>
    <mergeCell ref="B143:B146"/>
    <mergeCell ref="C143:C146"/>
    <mergeCell ref="D143:D146"/>
    <mergeCell ref="E143:F146"/>
    <mergeCell ref="G143:I144"/>
    <mergeCell ref="G145:G146"/>
    <mergeCell ref="H145:H146"/>
    <mergeCell ref="I145:I146"/>
    <mergeCell ref="E147:F147"/>
    <mergeCell ref="B153:B157"/>
    <mergeCell ref="B163:B167"/>
    <mergeCell ref="C153:C157"/>
    <mergeCell ref="C163:C167"/>
    <mergeCell ref="D153:D157"/>
    <mergeCell ref="D163:D167"/>
    <mergeCell ref="A209:A213"/>
    <mergeCell ref="B209:D213"/>
    <mergeCell ref="B189:B193"/>
    <mergeCell ref="D189:D193"/>
    <mergeCell ref="C189:C193"/>
    <mergeCell ref="B204:B208"/>
    <mergeCell ref="C204:C208"/>
    <mergeCell ref="D204:D208"/>
    <mergeCell ref="A199:A208"/>
    <mergeCell ref="B199:B203"/>
    <mergeCell ref="C199:C203"/>
    <mergeCell ref="D199:D203"/>
    <mergeCell ref="A179:A182"/>
    <mergeCell ref="B179:B182"/>
    <mergeCell ref="C179:C182"/>
    <mergeCell ref="D179:D182"/>
    <mergeCell ref="B184:B188"/>
    <mergeCell ref="C184:C188"/>
    <mergeCell ref="D184:D188"/>
    <mergeCell ref="B194:B198"/>
    <mergeCell ref="G179:I180"/>
    <mergeCell ref="G181:G182"/>
    <mergeCell ref="H181:H182"/>
    <mergeCell ref="I181:I182"/>
    <mergeCell ref="C194:C198"/>
    <mergeCell ref="D194:D198"/>
    <mergeCell ref="E183:F183"/>
    <mergeCell ref="E179:F182"/>
  </mergeCells>
  <printOptions/>
  <pageMargins left="0.1968503937007874" right="0.15748031496062992" top="0.8661417322834646" bottom="0.31496062992125984" header="0.11811023622047245" footer="0.11811023622047245"/>
  <pageSetup horizontalDpi="300" verticalDpi="300" orientation="landscape" paperSize="9" scale="95" r:id="rId1"/>
  <headerFooter alignWithMargins="0">
    <oddHeader>&amp;R&amp;"Arial CE,Pogrubiony"Załącznik Nr &amp;A&amp;"Arial CE,Standardowy"
&amp;9do Uchwały Rady Gminy
Miłkowice Nr  XXI/102/2008
z dnia 12 lutego 2008 roku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O132"/>
  <sheetViews>
    <sheetView zoomScale="80" zoomScaleNormal="80" workbookViewId="0" topLeftCell="A4">
      <selection activeCell="H29" sqref="H29:K30"/>
    </sheetView>
  </sheetViews>
  <sheetFormatPr defaultColWidth="9.00390625" defaultRowHeight="12.75"/>
  <cols>
    <col min="1" max="1" width="3.625" style="149" customWidth="1"/>
    <col min="2" max="2" width="49.125" style="146" customWidth="1"/>
    <col min="3" max="3" width="10.75390625" style="148" customWidth="1"/>
    <col min="4" max="4" width="10.125" style="147" customWidth="1"/>
    <col min="5" max="5" width="25.25390625" style="147" customWidth="1"/>
    <col min="6" max="7" width="17.00390625" style="147" customWidth="1"/>
    <col min="8" max="8" width="11.875" style="147" customWidth="1"/>
    <col min="9" max="9" width="9.25390625" style="147" bestFit="1" customWidth="1"/>
    <col min="10" max="10" width="9.125" style="147" customWidth="1"/>
    <col min="11" max="11" width="10.125" style="146" bestFit="1" customWidth="1"/>
    <col min="12" max="16384" width="9.125" style="144" customWidth="1"/>
  </cols>
  <sheetData>
    <row r="1" spans="1:11" s="172" customFormat="1" ht="25.5" customHeight="1">
      <c r="A1" s="1053" t="s">
        <v>494</v>
      </c>
      <c r="B1" s="1053"/>
      <c r="C1" s="1053"/>
      <c r="D1" s="1053"/>
      <c r="E1" s="1053"/>
      <c r="F1" s="1053"/>
      <c r="G1" s="1053"/>
      <c r="H1" s="1053"/>
      <c r="I1" s="1053"/>
      <c r="J1" s="1053"/>
      <c r="K1" s="1053"/>
    </row>
    <row r="2" spans="1:11" s="172" customFormat="1" ht="9" customHeight="1" thickBot="1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6" t="s">
        <v>16</v>
      </c>
    </row>
    <row r="3" spans="1:11" s="172" customFormat="1" ht="27.75" customHeight="1">
      <c r="A3" s="1054" t="s">
        <v>35</v>
      </c>
      <c r="B3" s="1057" t="s">
        <v>116</v>
      </c>
      <c r="C3" s="1057" t="s">
        <v>117</v>
      </c>
      <c r="D3" s="1057" t="s">
        <v>427</v>
      </c>
      <c r="E3" s="1060" t="s">
        <v>413</v>
      </c>
      <c r="F3" s="1061"/>
      <c r="G3" s="1062"/>
      <c r="H3" s="1047" t="s">
        <v>600</v>
      </c>
      <c r="I3" s="1048"/>
      <c r="J3" s="1048"/>
      <c r="K3" s="1049"/>
    </row>
    <row r="4" spans="1:11" s="172" customFormat="1" ht="9" customHeight="1">
      <c r="A4" s="1055"/>
      <c r="B4" s="1058"/>
      <c r="C4" s="1058"/>
      <c r="D4" s="1058"/>
      <c r="E4" s="1058" t="s">
        <v>414</v>
      </c>
      <c r="F4" s="1058" t="s">
        <v>6</v>
      </c>
      <c r="G4" s="1045" t="s">
        <v>7</v>
      </c>
      <c r="H4" s="1050"/>
      <c r="I4" s="1051"/>
      <c r="J4" s="1051"/>
      <c r="K4" s="1052"/>
    </row>
    <row r="5" spans="1:11" s="172" customFormat="1" ht="21" customHeight="1" thickBot="1">
      <c r="A5" s="1056"/>
      <c r="B5" s="1059"/>
      <c r="C5" s="1059"/>
      <c r="D5" s="1059"/>
      <c r="E5" s="1059"/>
      <c r="F5" s="1059"/>
      <c r="G5" s="1046"/>
      <c r="H5" s="379" t="s">
        <v>609</v>
      </c>
      <c r="I5" s="379" t="s">
        <v>415</v>
      </c>
      <c r="J5" s="379" t="s">
        <v>495</v>
      </c>
      <c r="K5" s="380" t="s">
        <v>2</v>
      </c>
    </row>
    <row r="6" spans="1:11" s="173" customFormat="1" ht="8.25" customHeight="1">
      <c r="A6" s="417">
        <v>1</v>
      </c>
      <c r="B6" s="377">
        <v>2</v>
      </c>
      <c r="C6" s="377">
        <v>3</v>
      </c>
      <c r="D6" s="377">
        <v>4</v>
      </c>
      <c r="E6" s="377">
        <v>5</v>
      </c>
      <c r="F6" s="378">
        <v>6</v>
      </c>
      <c r="G6" s="378">
        <v>7</v>
      </c>
      <c r="H6" s="378">
        <v>8</v>
      </c>
      <c r="I6" s="378">
        <v>9</v>
      </c>
      <c r="J6" s="378">
        <v>10</v>
      </c>
      <c r="K6" s="418">
        <v>11</v>
      </c>
    </row>
    <row r="7" spans="1:11" s="174" customFormat="1" ht="24" customHeight="1">
      <c r="A7" s="430"/>
      <c r="B7" s="405" t="s">
        <v>416</v>
      </c>
      <c r="C7" s="406" t="s">
        <v>100</v>
      </c>
      <c r="D7" s="406" t="s">
        <v>100</v>
      </c>
      <c r="E7" s="406" t="s">
        <v>100</v>
      </c>
      <c r="F7" s="382">
        <f aca="true" t="shared" si="0" ref="F7:K7">F8+F48+F18+F13+F43+F38+F23+F63+F68+F73+F78+F83+F93+F98+F33+F53+F103</f>
        <v>25994.5</v>
      </c>
      <c r="G7" s="382">
        <f t="shared" si="0"/>
        <v>170.5</v>
      </c>
      <c r="H7" s="798">
        <f t="shared" si="0"/>
        <v>11159</v>
      </c>
      <c r="I7" s="382">
        <f t="shared" si="0"/>
        <v>9465</v>
      </c>
      <c r="J7" s="382">
        <f t="shared" si="0"/>
        <v>2885</v>
      </c>
      <c r="K7" s="799">
        <f t="shared" si="0"/>
        <v>23509</v>
      </c>
    </row>
    <row r="8" spans="1:11" s="174" customFormat="1" ht="18.75" customHeight="1">
      <c r="A8" s="423" t="s">
        <v>67</v>
      </c>
      <c r="B8" s="175" t="s">
        <v>3</v>
      </c>
      <c r="C8" s="407">
        <v>46</v>
      </c>
      <c r="D8" s="408" t="s">
        <v>19</v>
      </c>
      <c r="E8" s="401" t="s">
        <v>417</v>
      </c>
      <c r="F8" s="381">
        <f>F9+F10+F11+F12</f>
        <v>5040</v>
      </c>
      <c r="G8" s="797">
        <f>G9+G10+G11+G12</f>
        <v>13.7</v>
      </c>
      <c r="H8" s="797">
        <f>H9+H10+H11+H12</f>
        <v>5026.3</v>
      </c>
      <c r="I8" s="381">
        <f>I9+I10+I11+I12</f>
        <v>0</v>
      </c>
      <c r="J8" s="381">
        <f>J9+J10+J11+J12</f>
        <v>0</v>
      </c>
      <c r="K8" s="800">
        <f aca="true" t="shared" si="1" ref="K8:K36">H8+I8+J8</f>
        <v>5026.3</v>
      </c>
    </row>
    <row r="9" spans="1:11" s="174" customFormat="1" ht="38.25">
      <c r="A9" s="421"/>
      <c r="B9" s="175" t="s">
        <v>572</v>
      </c>
      <c r="C9" s="407"/>
      <c r="D9" s="409"/>
      <c r="E9" s="397" t="s">
        <v>418</v>
      </c>
      <c r="F9" s="383">
        <v>265</v>
      </c>
      <c r="G9" s="798">
        <v>13.7</v>
      </c>
      <c r="H9" s="794">
        <v>251.3</v>
      </c>
      <c r="I9" s="383">
        <v>0</v>
      </c>
      <c r="J9" s="383">
        <v>0</v>
      </c>
      <c r="K9" s="799">
        <f t="shared" si="1"/>
        <v>251.3</v>
      </c>
    </row>
    <row r="10" spans="1:11" s="174" customFormat="1" ht="18.75" customHeight="1">
      <c r="A10" s="421"/>
      <c r="B10" s="175" t="s">
        <v>4</v>
      </c>
      <c r="C10" s="407"/>
      <c r="D10" s="409"/>
      <c r="E10" s="397" t="s">
        <v>425</v>
      </c>
      <c r="F10" s="383">
        <v>250</v>
      </c>
      <c r="G10" s="383">
        <v>0</v>
      </c>
      <c r="H10" s="383">
        <v>250</v>
      </c>
      <c r="I10" s="383"/>
      <c r="J10" s="383">
        <v>0</v>
      </c>
      <c r="K10" s="422">
        <f t="shared" si="1"/>
        <v>250</v>
      </c>
    </row>
    <row r="11" spans="1:11" s="174" customFormat="1" ht="18.75" customHeight="1">
      <c r="A11" s="421"/>
      <c r="B11" s="1064" t="s">
        <v>11</v>
      </c>
      <c r="C11" s="407"/>
      <c r="D11" s="409"/>
      <c r="E11" s="397" t="s">
        <v>419</v>
      </c>
      <c r="F11" s="383">
        <v>275</v>
      </c>
      <c r="G11" s="383">
        <v>0</v>
      </c>
      <c r="H11" s="383">
        <v>275</v>
      </c>
      <c r="I11" s="383">
        <v>0</v>
      </c>
      <c r="J11" s="383">
        <v>0</v>
      </c>
      <c r="K11" s="422">
        <f t="shared" si="1"/>
        <v>275</v>
      </c>
    </row>
    <row r="12" spans="1:11" s="174" customFormat="1" ht="18.75" customHeight="1" thickBot="1">
      <c r="A12" s="425"/>
      <c r="B12" s="1065"/>
      <c r="C12" s="426"/>
      <c r="D12" s="429"/>
      <c r="E12" s="398" t="s">
        <v>420</v>
      </c>
      <c r="F12" s="384">
        <v>4250</v>
      </c>
      <c r="G12" s="384">
        <v>0</v>
      </c>
      <c r="H12" s="384">
        <v>4250</v>
      </c>
      <c r="I12" s="384">
        <v>0</v>
      </c>
      <c r="J12" s="384">
        <v>0</v>
      </c>
      <c r="K12" s="428">
        <f t="shared" si="1"/>
        <v>4250</v>
      </c>
    </row>
    <row r="13" spans="1:11" s="174" customFormat="1" ht="20.25" customHeight="1">
      <c r="A13" s="423" t="s">
        <v>68</v>
      </c>
      <c r="B13" s="329" t="s">
        <v>5</v>
      </c>
      <c r="C13" s="407">
        <v>46</v>
      </c>
      <c r="D13" s="408" t="s">
        <v>19</v>
      </c>
      <c r="E13" s="401" t="s">
        <v>422</v>
      </c>
      <c r="F13" s="381">
        <f>F14+F15+F16+F17</f>
        <v>5107</v>
      </c>
      <c r="G13" s="797">
        <f>G14+G15+G16+G17</f>
        <v>1.8</v>
      </c>
      <c r="H13" s="797">
        <f>H14+H15+H16+H17</f>
        <v>105.2</v>
      </c>
      <c r="I13" s="381">
        <f>I14+I15+I16+I17</f>
        <v>5000</v>
      </c>
      <c r="J13" s="381">
        <f>J14+J15+J16+J17</f>
        <v>0</v>
      </c>
      <c r="K13" s="800">
        <f t="shared" si="1"/>
        <v>5105.2</v>
      </c>
    </row>
    <row r="14" spans="1:11" s="174" customFormat="1" ht="38.25">
      <c r="A14" s="421"/>
      <c r="B14" s="175" t="s">
        <v>574</v>
      </c>
      <c r="C14" s="407"/>
      <c r="D14" s="409"/>
      <c r="E14" s="397" t="s">
        <v>424</v>
      </c>
      <c r="F14" s="383">
        <v>272</v>
      </c>
      <c r="G14" s="794">
        <v>1.8</v>
      </c>
      <c r="H14" s="794">
        <v>105.2</v>
      </c>
      <c r="I14" s="383">
        <v>250</v>
      </c>
      <c r="J14" s="383">
        <v>0</v>
      </c>
      <c r="K14" s="799">
        <f t="shared" si="1"/>
        <v>355.2</v>
      </c>
    </row>
    <row r="15" spans="1:11" s="174" customFormat="1" ht="18" customHeight="1">
      <c r="A15" s="421"/>
      <c r="B15" s="175" t="s">
        <v>8</v>
      </c>
      <c r="C15" s="407"/>
      <c r="D15" s="409"/>
      <c r="E15" s="397" t="s">
        <v>425</v>
      </c>
      <c r="F15" s="383">
        <v>250</v>
      </c>
      <c r="G15" s="383">
        <v>0</v>
      </c>
      <c r="H15" s="383">
        <v>0</v>
      </c>
      <c r="I15" s="383">
        <v>250</v>
      </c>
      <c r="J15" s="383">
        <v>0</v>
      </c>
      <c r="K15" s="422">
        <f t="shared" si="1"/>
        <v>250</v>
      </c>
    </row>
    <row r="16" spans="1:11" s="174" customFormat="1" ht="18.75" customHeight="1">
      <c r="A16" s="421"/>
      <c r="B16" s="1064" t="s">
        <v>10</v>
      </c>
      <c r="C16" s="407"/>
      <c r="D16" s="409"/>
      <c r="E16" s="397" t="s">
        <v>419</v>
      </c>
      <c r="F16" s="383">
        <v>250</v>
      </c>
      <c r="G16" s="383">
        <v>0</v>
      </c>
      <c r="H16" s="383">
        <v>0</v>
      </c>
      <c r="I16" s="383">
        <v>250</v>
      </c>
      <c r="J16" s="383">
        <v>0</v>
      </c>
      <c r="K16" s="422">
        <f t="shared" si="1"/>
        <v>250</v>
      </c>
    </row>
    <row r="17" spans="1:11" s="174" customFormat="1" ht="18.75" customHeight="1" thickBot="1">
      <c r="A17" s="425"/>
      <c r="B17" s="1066"/>
      <c r="C17" s="426"/>
      <c r="D17" s="429"/>
      <c r="E17" s="398" t="s">
        <v>423</v>
      </c>
      <c r="F17" s="384">
        <v>4335</v>
      </c>
      <c r="G17" s="384">
        <v>0</v>
      </c>
      <c r="H17" s="384">
        <v>0</v>
      </c>
      <c r="I17" s="384">
        <v>4250</v>
      </c>
      <c r="J17" s="384">
        <v>0</v>
      </c>
      <c r="K17" s="428">
        <f t="shared" si="1"/>
        <v>4250</v>
      </c>
    </row>
    <row r="18" spans="1:13" s="176" customFormat="1" ht="19.5" customHeight="1">
      <c r="A18" s="423" t="s">
        <v>69</v>
      </c>
      <c r="B18" s="329" t="s">
        <v>3</v>
      </c>
      <c r="C18" s="407">
        <v>46</v>
      </c>
      <c r="D18" s="408" t="s">
        <v>19</v>
      </c>
      <c r="E18" s="401" t="s">
        <v>417</v>
      </c>
      <c r="F18" s="381">
        <f>F19+F20+F21+F22</f>
        <v>3000</v>
      </c>
      <c r="G18" s="381">
        <f>G19+G20+G21+G22</f>
        <v>0</v>
      </c>
      <c r="H18" s="381">
        <f>H19+H20+H21+H22</f>
        <v>0</v>
      </c>
      <c r="I18" s="381">
        <f>I19+I20+I21+I22</f>
        <v>1000</v>
      </c>
      <c r="J18" s="381">
        <f>J19+J20+J21+J22</f>
        <v>1000</v>
      </c>
      <c r="K18" s="420">
        <f t="shared" si="1"/>
        <v>2000</v>
      </c>
      <c r="M18" s="178"/>
    </row>
    <row r="19" spans="1:13" s="176" customFormat="1" ht="36.75" customHeight="1">
      <c r="A19" s="421"/>
      <c r="B19" s="175" t="s">
        <v>572</v>
      </c>
      <c r="C19" s="407"/>
      <c r="D19" s="409"/>
      <c r="E19" s="397" t="s">
        <v>418</v>
      </c>
      <c r="F19" s="383">
        <v>150</v>
      </c>
      <c r="G19" s="383">
        <v>0</v>
      </c>
      <c r="H19" s="383">
        <v>0</v>
      </c>
      <c r="I19" s="383">
        <v>50</v>
      </c>
      <c r="J19" s="383">
        <v>50</v>
      </c>
      <c r="K19" s="422">
        <f t="shared" si="1"/>
        <v>100</v>
      </c>
      <c r="M19" s="178"/>
    </row>
    <row r="20" spans="1:13" s="176" customFormat="1" ht="15.75" customHeight="1">
      <c r="A20" s="421"/>
      <c r="B20" s="175" t="s">
        <v>4</v>
      </c>
      <c r="C20" s="399"/>
      <c r="D20" s="409"/>
      <c r="E20" s="397" t="s">
        <v>425</v>
      </c>
      <c r="F20" s="383">
        <v>150</v>
      </c>
      <c r="G20" s="383">
        <v>0</v>
      </c>
      <c r="H20" s="383">
        <v>0</v>
      </c>
      <c r="I20" s="383">
        <v>50</v>
      </c>
      <c r="J20" s="383">
        <v>50</v>
      </c>
      <c r="K20" s="422">
        <f t="shared" si="1"/>
        <v>100</v>
      </c>
      <c r="M20" s="178"/>
    </row>
    <row r="21" spans="1:13" s="176" customFormat="1" ht="18.75" customHeight="1">
      <c r="A21" s="421"/>
      <c r="B21" s="1064" t="s">
        <v>9</v>
      </c>
      <c r="C21" s="399"/>
      <c r="D21" s="409"/>
      <c r="E21" s="397" t="s">
        <v>419</v>
      </c>
      <c r="F21" s="383">
        <v>450</v>
      </c>
      <c r="G21" s="383">
        <v>0</v>
      </c>
      <c r="H21" s="383">
        <v>0</v>
      </c>
      <c r="I21" s="383">
        <v>150</v>
      </c>
      <c r="J21" s="383">
        <v>150</v>
      </c>
      <c r="K21" s="422">
        <f t="shared" si="1"/>
        <v>300</v>
      </c>
      <c r="M21" s="178"/>
    </row>
    <row r="22" spans="1:13" s="176" customFormat="1" ht="18.75" customHeight="1" thickBot="1">
      <c r="A22" s="425"/>
      <c r="B22" s="1065"/>
      <c r="C22" s="431"/>
      <c r="D22" s="429"/>
      <c r="E22" s="398" t="s">
        <v>420</v>
      </c>
      <c r="F22" s="384">
        <v>2250</v>
      </c>
      <c r="G22" s="384">
        <v>0</v>
      </c>
      <c r="H22" s="384">
        <v>0</v>
      </c>
      <c r="I22" s="384">
        <v>750</v>
      </c>
      <c r="J22" s="384">
        <v>750</v>
      </c>
      <c r="K22" s="428">
        <f t="shared" si="1"/>
        <v>1500</v>
      </c>
      <c r="M22" s="178"/>
    </row>
    <row r="23" spans="1:13" s="176" customFormat="1" ht="19.5" customHeight="1">
      <c r="A23" s="423" t="s">
        <v>56</v>
      </c>
      <c r="B23" s="293" t="s">
        <v>12</v>
      </c>
      <c r="C23" s="399"/>
      <c r="D23" s="408" t="s">
        <v>19</v>
      </c>
      <c r="E23" s="401" t="s">
        <v>422</v>
      </c>
      <c r="F23" s="386">
        <f>F24+F25+F26+F27</f>
        <v>526</v>
      </c>
      <c r="G23" s="386">
        <f>G24+G25+G26+G27</f>
        <v>74</v>
      </c>
      <c r="H23" s="386">
        <f>H24+H25+H26+H27</f>
        <v>362</v>
      </c>
      <c r="I23" s="386">
        <f>I24+I25+I26+I27</f>
        <v>90</v>
      </c>
      <c r="J23" s="386">
        <f>J24+J25+J26+J27</f>
        <v>0</v>
      </c>
      <c r="K23" s="420">
        <f t="shared" si="1"/>
        <v>452</v>
      </c>
      <c r="M23" s="178"/>
    </row>
    <row r="24" spans="1:13" s="176" customFormat="1" ht="25.5">
      <c r="A24" s="421"/>
      <c r="B24" s="175" t="s">
        <v>13</v>
      </c>
      <c r="C24" s="399"/>
      <c r="D24" s="409"/>
      <c r="E24" s="397" t="s">
        <v>424</v>
      </c>
      <c r="F24" s="383">
        <v>96</v>
      </c>
      <c r="G24" s="383">
        <v>74</v>
      </c>
      <c r="H24" s="383">
        <v>22</v>
      </c>
      <c r="I24" s="383">
        <v>0</v>
      </c>
      <c r="J24" s="387">
        <v>0</v>
      </c>
      <c r="K24" s="422">
        <f t="shared" si="1"/>
        <v>22</v>
      </c>
      <c r="M24" s="178"/>
    </row>
    <row r="25" spans="1:13" s="176" customFormat="1" ht="20.25" customHeight="1">
      <c r="A25" s="421"/>
      <c r="B25" s="175" t="s">
        <v>14</v>
      </c>
      <c r="C25" s="399"/>
      <c r="D25" s="404"/>
      <c r="E25" s="397" t="s">
        <v>425</v>
      </c>
      <c r="F25" s="383">
        <v>0</v>
      </c>
      <c r="G25" s="383">
        <v>0</v>
      </c>
      <c r="H25" s="383">
        <v>0</v>
      </c>
      <c r="I25" s="383">
        <v>0</v>
      </c>
      <c r="J25" s="383"/>
      <c r="K25" s="422">
        <f t="shared" si="1"/>
        <v>0</v>
      </c>
      <c r="M25" s="178"/>
    </row>
    <row r="26" spans="1:13" s="176" customFormat="1" ht="18.75" customHeight="1">
      <c r="A26" s="421"/>
      <c r="B26" s="1064" t="s">
        <v>15</v>
      </c>
      <c r="C26" s="399"/>
      <c r="D26" s="404"/>
      <c r="E26" s="397" t="s">
        <v>570</v>
      </c>
      <c r="F26" s="383">
        <v>430</v>
      </c>
      <c r="G26" s="383">
        <v>0</v>
      </c>
      <c r="H26" s="383">
        <v>340</v>
      </c>
      <c r="I26" s="383">
        <v>90</v>
      </c>
      <c r="J26" s="387">
        <v>0</v>
      </c>
      <c r="K26" s="422">
        <f t="shared" si="1"/>
        <v>430</v>
      </c>
      <c r="M26" s="178"/>
    </row>
    <row r="27" spans="1:13" s="176" customFormat="1" ht="18.75" customHeight="1" thickBot="1">
      <c r="A27" s="425"/>
      <c r="B27" s="1065"/>
      <c r="C27" s="431"/>
      <c r="D27" s="432"/>
      <c r="E27" s="398" t="s">
        <v>641</v>
      </c>
      <c r="F27" s="384">
        <v>0</v>
      </c>
      <c r="G27" s="384">
        <v>0</v>
      </c>
      <c r="H27" s="384">
        <v>0</v>
      </c>
      <c r="I27" s="384">
        <v>0</v>
      </c>
      <c r="J27" s="388">
        <v>0</v>
      </c>
      <c r="K27" s="428">
        <f t="shared" si="1"/>
        <v>0</v>
      </c>
      <c r="M27" s="178"/>
    </row>
    <row r="28" spans="1:11" s="172" customFormat="1" ht="9" customHeight="1" thickBot="1">
      <c r="A28" s="375"/>
      <c r="B28" s="375"/>
      <c r="C28" s="375"/>
      <c r="D28" s="375"/>
      <c r="E28" s="375"/>
      <c r="F28" s="375"/>
      <c r="G28" s="375"/>
      <c r="H28" s="375"/>
      <c r="I28" s="375"/>
      <c r="J28" s="375"/>
      <c r="K28" s="376"/>
    </row>
    <row r="29" spans="1:11" s="172" customFormat="1" ht="27.75" customHeight="1">
      <c r="A29" s="1054" t="s">
        <v>35</v>
      </c>
      <c r="B29" s="1057" t="s">
        <v>116</v>
      </c>
      <c r="C29" s="1057" t="s">
        <v>117</v>
      </c>
      <c r="D29" s="1057" t="s">
        <v>427</v>
      </c>
      <c r="E29" s="1060" t="s">
        <v>413</v>
      </c>
      <c r="F29" s="1061"/>
      <c r="G29" s="1062"/>
      <c r="H29" s="1047" t="s">
        <v>600</v>
      </c>
      <c r="I29" s="1048"/>
      <c r="J29" s="1048"/>
      <c r="K29" s="1049"/>
    </row>
    <row r="30" spans="1:11" s="172" customFormat="1" ht="9" customHeight="1">
      <c r="A30" s="1055"/>
      <c r="B30" s="1058"/>
      <c r="C30" s="1058"/>
      <c r="D30" s="1058"/>
      <c r="E30" s="1058" t="s">
        <v>414</v>
      </c>
      <c r="F30" s="1058" t="s">
        <v>6</v>
      </c>
      <c r="G30" s="1045" t="s">
        <v>7</v>
      </c>
      <c r="H30" s="1050"/>
      <c r="I30" s="1051"/>
      <c r="J30" s="1051"/>
      <c r="K30" s="1052"/>
    </row>
    <row r="31" spans="1:11" s="172" customFormat="1" ht="21" customHeight="1" thickBot="1">
      <c r="A31" s="1056"/>
      <c r="B31" s="1059"/>
      <c r="C31" s="1059"/>
      <c r="D31" s="1059"/>
      <c r="E31" s="1059"/>
      <c r="F31" s="1059"/>
      <c r="G31" s="1046"/>
      <c r="H31" s="379" t="s">
        <v>609</v>
      </c>
      <c r="I31" s="379" t="s">
        <v>415</v>
      </c>
      <c r="J31" s="379" t="s">
        <v>495</v>
      </c>
      <c r="K31" s="380" t="s">
        <v>2</v>
      </c>
    </row>
    <row r="32" spans="1:11" s="173" customFormat="1" ht="8.25" customHeight="1" thickBot="1">
      <c r="A32" s="417">
        <v>1</v>
      </c>
      <c r="B32" s="377">
        <v>2</v>
      </c>
      <c r="C32" s="377">
        <v>3</v>
      </c>
      <c r="D32" s="377">
        <v>4</v>
      </c>
      <c r="E32" s="377">
        <v>5</v>
      </c>
      <c r="F32" s="378">
        <v>6</v>
      </c>
      <c r="G32" s="378">
        <v>7</v>
      </c>
      <c r="H32" s="378">
        <v>8</v>
      </c>
      <c r="I32" s="378">
        <v>9</v>
      </c>
      <c r="J32" s="378">
        <v>10</v>
      </c>
      <c r="K32" s="418">
        <v>11</v>
      </c>
    </row>
    <row r="33" spans="1:13" s="176" customFormat="1" ht="19.5" customHeight="1">
      <c r="A33" s="423" t="s">
        <v>73</v>
      </c>
      <c r="B33" s="330" t="s">
        <v>12</v>
      </c>
      <c r="C33" s="399"/>
      <c r="D33" s="408" t="s">
        <v>19</v>
      </c>
      <c r="E33" s="400" t="s">
        <v>422</v>
      </c>
      <c r="F33" s="382">
        <f>F34+F35+F36+F37</f>
        <v>1000</v>
      </c>
      <c r="G33" s="386">
        <f>G34+G35+G36+G37</f>
        <v>0</v>
      </c>
      <c r="H33" s="386">
        <f>H34+H35+H36+H37</f>
        <v>0</v>
      </c>
      <c r="I33" s="386">
        <v>0</v>
      </c>
      <c r="J33" s="385">
        <f>J34+J35+J36+J37</f>
        <v>500</v>
      </c>
      <c r="K33" s="422">
        <f t="shared" si="1"/>
        <v>500</v>
      </c>
      <c r="M33" s="178"/>
    </row>
    <row r="34" spans="1:13" s="176" customFormat="1" ht="15.75">
      <c r="A34" s="421"/>
      <c r="B34" s="175" t="s">
        <v>14</v>
      </c>
      <c r="C34" s="399"/>
      <c r="D34" s="410"/>
      <c r="E34" s="397" t="s">
        <v>424</v>
      </c>
      <c r="F34" s="383">
        <v>800</v>
      </c>
      <c r="G34" s="387">
        <v>0</v>
      </c>
      <c r="H34" s="387">
        <v>0</v>
      </c>
      <c r="I34" s="389">
        <v>0</v>
      </c>
      <c r="J34" s="389">
        <v>400</v>
      </c>
      <c r="K34" s="422">
        <f t="shared" si="1"/>
        <v>400</v>
      </c>
      <c r="M34" s="178"/>
    </row>
    <row r="35" spans="1:13" s="176" customFormat="1" ht="25.5">
      <c r="A35" s="421"/>
      <c r="B35" s="175" t="s">
        <v>17</v>
      </c>
      <c r="C35" s="399"/>
      <c r="D35" s="410"/>
      <c r="E35" s="397" t="s">
        <v>425</v>
      </c>
      <c r="F35" s="383">
        <v>50</v>
      </c>
      <c r="G35" s="387">
        <v>0</v>
      </c>
      <c r="H35" s="387">
        <v>0</v>
      </c>
      <c r="I35" s="387">
        <v>0</v>
      </c>
      <c r="J35" s="389">
        <v>25</v>
      </c>
      <c r="K35" s="422">
        <f t="shared" si="1"/>
        <v>25</v>
      </c>
      <c r="M35" s="178"/>
    </row>
    <row r="36" spans="1:13" s="176" customFormat="1" ht="18.75" customHeight="1">
      <c r="A36" s="421"/>
      <c r="B36" s="1064" t="s">
        <v>18</v>
      </c>
      <c r="C36" s="399"/>
      <c r="D36" s="410"/>
      <c r="E36" s="397" t="s">
        <v>419</v>
      </c>
      <c r="F36" s="383">
        <v>150</v>
      </c>
      <c r="G36" s="387">
        <v>0</v>
      </c>
      <c r="H36" s="387">
        <v>0</v>
      </c>
      <c r="I36" s="389">
        <v>0</v>
      </c>
      <c r="J36" s="389">
        <v>75</v>
      </c>
      <c r="K36" s="422">
        <f t="shared" si="1"/>
        <v>75</v>
      </c>
      <c r="M36" s="178"/>
    </row>
    <row r="37" spans="1:13" s="176" customFormat="1" ht="18.75" customHeight="1" thickBot="1">
      <c r="A37" s="425"/>
      <c r="B37" s="1065"/>
      <c r="C37" s="431"/>
      <c r="D37" s="427"/>
      <c r="E37" s="398" t="s">
        <v>641</v>
      </c>
      <c r="F37" s="384">
        <v>0</v>
      </c>
      <c r="G37" s="433"/>
      <c r="H37" s="388"/>
      <c r="I37" s="388"/>
      <c r="J37" s="388"/>
      <c r="K37" s="428"/>
      <c r="M37" s="178"/>
    </row>
    <row r="38" spans="1:11" s="177" customFormat="1" ht="18.75" customHeight="1">
      <c r="A38" s="423" t="s">
        <v>76</v>
      </c>
      <c r="B38" s="331" t="s">
        <v>12</v>
      </c>
      <c r="C38" s="399"/>
      <c r="D38" s="410" t="s">
        <v>20</v>
      </c>
      <c r="E38" s="401" t="s">
        <v>422</v>
      </c>
      <c r="F38" s="386">
        <f>F39+F40+F41+F42</f>
        <v>507</v>
      </c>
      <c r="G38" s="795">
        <f>G39+G40+G41+G42</f>
        <v>1.2</v>
      </c>
      <c r="H38" s="795">
        <f>H39+H40+H41+H42</f>
        <v>105.8</v>
      </c>
      <c r="I38" s="386">
        <f>I39+I40+I41+I42</f>
        <v>400</v>
      </c>
      <c r="J38" s="386">
        <f>J39+J40+J41+J42</f>
        <v>0</v>
      </c>
      <c r="K38" s="800">
        <f aca="true" t="shared" si="2" ref="K38:K63">H38+I38+J38</f>
        <v>505.8</v>
      </c>
    </row>
    <row r="39" spans="1:11" s="174" customFormat="1" ht="15.75">
      <c r="A39" s="421"/>
      <c r="B39" s="175" t="s">
        <v>14</v>
      </c>
      <c r="C39" s="399"/>
      <c r="D39" s="410"/>
      <c r="E39" s="397" t="s">
        <v>424</v>
      </c>
      <c r="F39" s="383">
        <v>132</v>
      </c>
      <c r="G39" s="796">
        <v>1.2</v>
      </c>
      <c r="H39" s="796">
        <v>30.8</v>
      </c>
      <c r="I39" s="383">
        <v>100</v>
      </c>
      <c r="J39" s="387">
        <v>0</v>
      </c>
      <c r="K39" s="799">
        <f t="shared" si="2"/>
        <v>130.8</v>
      </c>
    </row>
    <row r="40" spans="1:11" s="174" customFormat="1" ht="18" customHeight="1">
      <c r="A40" s="421"/>
      <c r="B40" s="175" t="s">
        <v>575</v>
      </c>
      <c r="C40" s="399"/>
      <c r="D40" s="410"/>
      <c r="E40" s="397" t="s">
        <v>425</v>
      </c>
      <c r="F40" s="383">
        <v>0</v>
      </c>
      <c r="G40" s="383">
        <v>0</v>
      </c>
      <c r="H40" s="383">
        <v>0</v>
      </c>
      <c r="I40" s="383">
        <v>0</v>
      </c>
      <c r="J40" s="387">
        <v>0</v>
      </c>
      <c r="K40" s="422">
        <f t="shared" si="2"/>
        <v>0</v>
      </c>
    </row>
    <row r="41" spans="1:11" s="174" customFormat="1" ht="18.75" customHeight="1">
      <c r="A41" s="421"/>
      <c r="B41" s="1064" t="s">
        <v>27</v>
      </c>
      <c r="C41" s="399"/>
      <c r="D41" s="410"/>
      <c r="E41" s="397" t="s">
        <v>419</v>
      </c>
      <c r="F41" s="383">
        <v>375</v>
      </c>
      <c r="G41" s="383">
        <v>0</v>
      </c>
      <c r="H41" s="383">
        <v>75</v>
      </c>
      <c r="I41" s="383">
        <v>300</v>
      </c>
      <c r="J41" s="387">
        <v>0</v>
      </c>
      <c r="K41" s="422">
        <f t="shared" si="2"/>
        <v>375</v>
      </c>
    </row>
    <row r="42" spans="1:15" s="179" customFormat="1" ht="18.75" customHeight="1" thickBot="1">
      <c r="A42" s="425"/>
      <c r="B42" s="1065"/>
      <c r="C42" s="431"/>
      <c r="D42" s="427"/>
      <c r="E42" s="398" t="s">
        <v>641</v>
      </c>
      <c r="F42" s="384">
        <v>0</v>
      </c>
      <c r="G42" s="384">
        <v>0</v>
      </c>
      <c r="H42" s="384">
        <v>0</v>
      </c>
      <c r="I42" s="384">
        <v>0</v>
      </c>
      <c r="J42" s="388">
        <v>0</v>
      </c>
      <c r="K42" s="428">
        <f t="shared" si="2"/>
        <v>0</v>
      </c>
      <c r="L42" s="176"/>
      <c r="M42" s="178"/>
      <c r="N42" s="176"/>
      <c r="O42" s="176"/>
    </row>
    <row r="43" spans="1:11" s="174" customFormat="1" ht="18.75" customHeight="1">
      <c r="A43" s="423" t="s">
        <v>78</v>
      </c>
      <c r="B43" s="331" t="s">
        <v>12</v>
      </c>
      <c r="C43" s="407"/>
      <c r="D43" s="411" t="s">
        <v>21</v>
      </c>
      <c r="E43" s="401" t="s">
        <v>422</v>
      </c>
      <c r="F43" s="386">
        <f>F44+F45+F46+F47</f>
        <v>500</v>
      </c>
      <c r="G43" s="386">
        <f>G44+G45+G46+G47</f>
        <v>0</v>
      </c>
      <c r="H43" s="386">
        <f>H44+H45+H46+H47</f>
        <v>500</v>
      </c>
      <c r="I43" s="386">
        <f>I44+I45+I46+I47</f>
        <v>0</v>
      </c>
      <c r="J43" s="386">
        <f>J44+J45+J46+J47</f>
        <v>0</v>
      </c>
      <c r="K43" s="420">
        <f t="shared" si="2"/>
        <v>500</v>
      </c>
    </row>
    <row r="44" spans="1:11" s="174" customFormat="1" ht="18.75" customHeight="1">
      <c r="A44" s="421"/>
      <c r="B44" s="175" t="s">
        <v>14</v>
      </c>
      <c r="C44" s="407"/>
      <c r="D44" s="409"/>
      <c r="E44" s="397" t="s">
        <v>424</v>
      </c>
      <c r="F44" s="383">
        <f>K44</f>
        <v>100</v>
      </c>
      <c r="G44" s="383">
        <v>0</v>
      </c>
      <c r="H44" s="392">
        <v>100</v>
      </c>
      <c r="I44" s="387">
        <v>0</v>
      </c>
      <c r="J44" s="387">
        <v>0</v>
      </c>
      <c r="K44" s="422">
        <f t="shared" si="2"/>
        <v>100</v>
      </c>
    </row>
    <row r="45" spans="1:11" s="174" customFormat="1" ht="18.75" customHeight="1">
      <c r="A45" s="421"/>
      <c r="B45" s="175" t="s">
        <v>575</v>
      </c>
      <c r="C45" s="407"/>
      <c r="D45" s="409"/>
      <c r="E45" s="397" t="s">
        <v>425</v>
      </c>
      <c r="F45" s="383">
        <f>K45</f>
        <v>25</v>
      </c>
      <c r="G45" s="383">
        <v>0</v>
      </c>
      <c r="H45" s="392">
        <v>25</v>
      </c>
      <c r="I45" s="387">
        <v>0</v>
      </c>
      <c r="J45" s="387">
        <v>0</v>
      </c>
      <c r="K45" s="422">
        <f t="shared" si="2"/>
        <v>25</v>
      </c>
    </row>
    <row r="46" spans="1:11" s="174" customFormat="1" ht="18.75" customHeight="1">
      <c r="A46" s="421"/>
      <c r="B46" s="1064" t="s">
        <v>721</v>
      </c>
      <c r="C46" s="407"/>
      <c r="D46" s="409"/>
      <c r="E46" s="402" t="s">
        <v>601</v>
      </c>
      <c r="F46" s="383">
        <f>K46</f>
        <v>375</v>
      </c>
      <c r="G46" s="383">
        <v>0</v>
      </c>
      <c r="H46" s="392">
        <v>375</v>
      </c>
      <c r="I46" s="387">
        <v>0</v>
      </c>
      <c r="J46" s="387">
        <v>0</v>
      </c>
      <c r="K46" s="422">
        <f t="shared" si="2"/>
        <v>375</v>
      </c>
    </row>
    <row r="47" spans="1:11" s="174" customFormat="1" ht="18.75" customHeight="1" thickBot="1">
      <c r="A47" s="425"/>
      <c r="B47" s="1065"/>
      <c r="C47" s="426"/>
      <c r="D47" s="429"/>
      <c r="E47" s="398" t="s">
        <v>602</v>
      </c>
      <c r="F47" s="384">
        <v>0</v>
      </c>
      <c r="G47" s="384">
        <v>0</v>
      </c>
      <c r="H47" s="388">
        <v>0</v>
      </c>
      <c r="I47" s="388">
        <v>0</v>
      </c>
      <c r="J47" s="388">
        <v>0</v>
      </c>
      <c r="K47" s="428">
        <f t="shared" si="2"/>
        <v>0</v>
      </c>
    </row>
    <row r="48" spans="1:11" s="174" customFormat="1" ht="18.75" customHeight="1">
      <c r="A48" s="423" t="s">
        <v>84</v>
      </c>
      <c r="B48" s="329" t="s">
        <v>28</v>
      </c>
      <c r="C48" s="407">
        <v>76</v>
      </c>
      <c r="D48" s="409" t="s">
        <v>421</v>
      </c>
      <c r="E48" s="401" t="s">
        <v>417</v>
      </c>
      <c r="F48" s="386">
        <f>F49+F50+F51+F52</f>
        <v>2900</v>
      </c>
      <c r="G48" s="795">
        <f>G49</f>
        <v>14.3</v>
      </c>
      <c r="H48" s="795">
        <f>H49+H50+H51+H52</f>
        <v>2885.7</v>
      </c>
      <c r="I48" s="386">
        <f>I49+I50+I51+I52</f>
        <v>0</v>
      </c>
      <c r="J48" s="386">
        <f>J49+J50+J51+J52</f>
        <v>0</v>
      </c>
      <c r="K48" s="800">
        <f t="shared" si="2"/>
        <v>2885.7</v>
      </c>
    </row>
    <row r="49" spans="1:11" s="174" customFormat="1" ht="25.5">
      <c r="A49" s="421"/>
      <c r="B49" s="175" t="s">
        <v>573</v>
      </c>
      <c r="C49" s="407"/>
      <c r="D49" s="409"/>
      <c r="E49" s="397" t="s">
        <v>424</v>
      </c>
      <c r="F49" s="383">
        <v>95</v>
      </c>
      <c r="G49" s="794">
        <v>14.3</v>
      </c>
      <c r="H49" s="794">
        <v>80.7</v>
      </c>
      <c r="I49" s="387">
        <v>0</v>
      </c>
      <c r="J49" s="387">
        <v>0</v>
      </c>
      <c r="K49" s="799">
        <f t="shared" si="2"/>
        <v>80.7</v>
      </c>
    </row>
    <row r="50" spans="1:11" s="174" customFormat="1" ht="18.75" customHeight="1">
      <c r="A50" s="421"/>
      <c r="B50" s="175" t="s">
        <v>29</v>
      </c>
      <c r="C50" s="407"/>
      <c r="D50" s="409"/>
      <c r="E50" s="397" t="s">
        <v>425</v>
      </c>
      <c r="F50" s="383">
        <v>0</v>
      </c>
      <c r="G50" s="383">
        <v>0</v>
      </c>
      <c r="H50" s="383">
        <v>0</v>
      </c>
      <c r="I50" s="383"/>
      <c r="J50" s="387">
        <v>0</v>
      </c>
      <c r="K50" s="422">
        <f t="shared" si="2"/>
        <v>0</v>
      </c>
    </row>
    <row r="51" spans="1:11" s="174" customFormat="1" ht="18.75" customHeight="1">
      <c r="A51" s="421"/>
      <c r="B51" s="1064" t="s">
        <v>30</v>
      </c>
      <c r="C51" s="407"/>
      <c r="D51" s="409"/>
      <c r="E51" s="397" t="s">
        <v>419</v>
      </c>
      <c r="F51" s="383">
        <v>340</v>
      </c>
      <c r="G51" s="383">
        <v>0</v>
      </c>
      <c r="H51" s="383">
        <v>340</v>
      </c>
      <c r="I51" s="387">
        <v>0</v>
      </c>
      <c r="J51" s="387">
        <v>0</v>
      </c>
      <c r="K51" s="422">
        <f t="shared" si="2"/>
        <v>340</v>
      </c>
    </row>
    <row r="52" spans="1:11" s="174" customFormat="1" ht="18.75" customHeight="1" thickBot="1">
      <c r="A52" s="425"/>
      <c r="B52" s="1065"/>
      <c r="C52" s="426"/>
      <c r="D52" s="429"/>
      <c r="E52" s="398" t="s">
        <v>420</v>
      </c>
      <c r="F52" s="384">
        <v>2465</v>
      </c>
      <c r="G52" s="384">
        <v>0</v>
      </c>
      <c r="H52" s="384">
        <v>2465</v>
      </c>
      <c r="I52" s="388">
        <v>0</v>
      </c>
      <c r="J52" s="388">
        <v>0</v>
      </c>
      <c r="K52" s="428">
        <f t="shared" si="2"/>
        <v>2465</v>
      </c>
    </row>
    <row r="53" spans="1:13" s="176" customFormat="1" ht="15.75">
      <c r="A53" s="423" t="s">
        <v>444</v>
      </c>
      <c r="B53" s="329" t="s">
        <v>28</v>
      </c>
      <c r="C53" s="407">
        <v>75</v>
      </c>
      <c r="D53" s="409"/>
      <c r="E53" s="401" t="s">
        <v>422</v>
      </c>
      <c r="F53" s="386">
        <f>F54+F55+F56+F57</f>
        <v>2100</v>
      </c>
      <c r="G53" s="386">
        <f>G54+G55+G56+G57</f>
        <v>0</v>
      </c>
      <c r="H53" s="386">
        <f>H54+H55+H56+H57</f>
        <v>1015</v>
      </c>
      <c r="I53" s="386">
        <f>I54+I55+I56+I57</f>
        <v>300</v>
      </c>
      <c r="J53" s="386">
        <f>J54+J55+J56+J57</f>
        <v>300</v>
      </c>
      <c r="K53" s="420">
        <f t="shared" si="2"/>
        <v>1615</v>
      </c>
      <c r="M53" s="178"/>
    </row>
    <row r="54" spans="1:13" s="176" customFormat="1" ht="25.5">
      <c r="A54" s="421"/>
      <c r="B54" s="175" t="s">
        <v>31</v>
      </c>
      <c r="C54" s="407"/>
      <c r="D54" s="409"/>
      <c r="E54" s="397" t="s">
        <v>571</v>
      </c>
      <c r="F54" s="383">
        <v>70</v>
      </c>
      <c r="G54" s="387">
        <v>0</v>
      </c>
      <c r="H54" s="389">
        <v>35</v>
      </c>
      <c r="I54" s="389">
        <v>25</v>
      </c>
      <c r="J54" s="383">
        <v>5</v>
      </c>
      <c r="K54" s="422">
        <f t="shared" si="2"/>
        <v>65</v>
      </c>
      <c r="M54" s="178"/>
    </row>
    <row r="55" spans="1:13" s="176" customFormat="1" ht="38.25">
      <c r="A55" s="421"/>
      <c r="B55" s="175" t="s">
        <v>32</v>
      </c>
      <c r="C55" s="407"/>
      <c r="D55" s="409"/>
      <c r="E55" s="397" t="s">
        <v>425</v>
      </c>
      <c r="F55" s="383">
        <f>660+150-30</f>
        <v>780</v>
      </c>
      <c r="G55" s="387">
        <v>0</v>
      </c>
      <c r="H55" s="389">
        <v>660</v>
      </c>
      <c r="I55" s="389">
        <v>50</v>
      </c>
      <c r="J55" s="383">
        <v>30</v>
      </c>
      <c r="K55" s="422">
        <f t="shared" si="2"/>
        <v>740</v>
      </c>
      <c r="M55" s="178"/>
    </row>
    <row r="56" spans="1:13" s="176" customFormat="1" ht="18.75" customHeight="1">
      <c r="A56" s="421"/>
      <c r="B56" s="1064" t="s">
        <v>720</v>
      </c>
      <c r="C56" s="407"/>
      <c r="D56" s="409"/>
      <c r="E56" s="397" t="s">
        <v>419</v>
      </c>
      <c r="F56" s="383">
        <f>80+320</f>
        <v>400</v>
      </c>
      <c r="G56" s="387">
        <v>0</v>
      </c>
      <c r="H56" s="389">
        <v>320</v>
      </c>
      <c r="I56" s="389">
        <v>25</v>
      </c>
      <c r="J56" s="383">
        <v>15</v>
      </c>
      <c r="K56" s="422">
        <f t="shared" si="2"/>
        <v>360</v>
      </c>
      <c r="M56" s="178"/>
    </row>
    <row r="57" spans="1:13" s="176" customFormat="1" ht="18.75" customHeight="1" thickBot="1">
      <c r="A57" s="425"/>
      <c r="B57" s="1065"/>
      <c r="C57" s="426"/>
      <c r="D57" s="429"/>
      <c r="E57" s="398" t="s">
        <v>423</v>
      </c>
      <c r="F57" s="384">
        <v>850</v>
      </c>
      <c r="G57" s="388">
        <v>0</v>
      </c>
      <c r="H57" s="393"/>
      <c r="I57" s="393">
        <v>200</v>
      </c>
      <c r="J57" s="384">
        <v>250</v>
      </c>
      <c r="K57" s="428">
        <f t="shared" si="2"/>
        <v>450</v>
      </c>
      <c r="M57" s="178"/>
    </row>
    <row r="58" spans="1:11" s="172" customFormat="1" ht="9" customHeight="1" thickBot="1">
      <c r="A58" s="375"/>
      <c r="B58" s="375"/>
      <c r="C58" s="375"/>
      <c r="D58" s="375"/>
      <c r="E58" s="375"/>
      <c r="F58" s="375"/>
      <c r="G58" s="375"/>
      <c r="H58" s="375"/>
      <c r="I58" s="375"/>
      <c r="J58" s="375"/>
      <c r="K58" s="376"/>
    </row>
    <row r="59" spans="1:11" s="172" customFormat="1" ht="24" customHeight="1">
      <c r="A59" s="1054" t="s">
        <v>35</v>
      </c>
      <c r="B59" s="1057" t="s">
        <v>116</v>
      </c>
      <c r="C59" s="1057" t="s">
        <v>117</v>
      </c>
      <c r="D59" s="1057" t="s">
        <v>427</v>
      </c>
      <c r="E59" s="1060" t="s">
        <v>413</v>
      </c>
      <c r="F59" s="1061"/>
      <c r="G59" s="1062"/>
      <c r="H59" s="1047" t="s">
        <v>600</v>
      </c>
      <c r="I59" s="1048"/>
      <c r="J59" s="1048"/>
      <c r="K59" s="1049"/>
    </row>
    <row r="60" spans="1:11" s="172" customFormat="1" ht="6" customHeight="1">
      <c r="A60" s="1055"/>
      <c r="B60" s="1058"/>
      <c r="C60" s="1058"/>
      <c r="D60" s="1058"/>
      <c r="E60" s="1058" t="s">
        <v>414</v>
      </c>
      <c r="F60" s="1058" t="s">
        <v>6</v>
      </c>
      <c r="G60" s="1045" t="s">
        <v>7</v>
      </c>
      <c r="H60" s="1050"/>
      <c r="I60" s="1051"/>
      <c r="J60" s="1051"/>
      <c r="K60" s="1052"/>
    </row>
    <row r="61" spans="1:11" s="172" customFormat="1" ht="21" customHeight="1" thickBot="1">
      <c r="A61" s="1056"/>
      <c r="B61" s="1059"/>
      <c r="C61" s="1059"/>
      <c r="D61" s="1059"/>
      <c r="E61" s="1059"/>
      <c r="F61" s="1059"/>
      <c r="G61" s="1046"/>
      <c r="H61" s="379" t="s">
        <v>609</v>
      </c>
      <c r="I61" s="379" t="s">
        <v>415</v>
      </c>
      <c r="J61" s="379" t="s">
        <v>495</v>
      </c>
      <c r="K61" s="380" t="s">
        <v>2</v>
      </c>
    </row>
    <row r="62" spans="1:11" s="173" customFormat="1" ht="8.25" customHeight="1">
      <c r="A62" s="417">
        <v>1</v>
      </c>
      <c r="B62" s="377">
        <v>2</v>
      </c>
      <c r="C62" s="377">
        <v>3</v>
      </c>
      <c r="D62" s="377">
        <v>4</v>
      </c>
      <c r="E62" s="377">
        <v>5</v>
      </c>
      <c r="F62" s="378">
        <v>6</v>
      </c>
      <c r="G62" s="378">
        <v>7</v>
      </c>
      <c r="H62" s="378">
        <v>8</v>
      </c>
      <c r="I62" s="378">
        <v>9</v>
      </c>
      <c r="J62" s="378">
        <v>10</v>
      </c>
      <c r="K62" s="418">
        <v>11</v>
      </c>
    </row>
    <row r="63" spans="1:13" s="176" customFormat="1" ht="19.5" customHeight="1">
      <c r="A63" s="423" t="s">
        <v>454</v>
      </c>
      <c r="B63" s="434" t="s">
        <v>5</v>
      </c>
      <c r="C63" s="407">
        <v>75</v>
      </c>
      <c r="D63" s="410" t="s">
        <v>22</v>
      </c>
      <c r="E63" s="401" t="s">
        <v>422</v>
      </c>
      <c r="F63" s="385">
        <f>F64+F65+F66+F67</f>
        <v>300</v>
      </c>
      <c r="G63" s="385">
        <f>G64+G65+G66+G67</f>
        <v>0</v>
      </c>
      <c r="H63" s="385">
        <f>H64+H65+H66+H67</f>
        <v>0</v>
      </c>
      <c r="I63" s="385">
        <f>I64+I65+I66+I67</f>
        <v>300</v>
      </c>
      <c r="J63" s="386">
        <f>J64+J65+J66+J67</f>
        <v>0</v>
      </c>
      <c r="K63" s="422">
        <f t="shared" si="2"/>
        <v>300</v>
      </c>
      <c r="M63" s="178"/>
    </row>
    <row r="64" spans="1:13" s="176" customFormat="1" ht="25.5" customHeight="1">
      <c r="A64" s="421"/>
      <c r="B64" s="175" t="s">
        <v>33</v>
      </c>
      <c r="C64" s="407"/>
      <c r="D64" s="410"/>
      <c r="E64" s="397" t="s">
        <v>571</v>
      </c>
      <c r="F64" s="383">
        <v>75</v>
      </c>
      <c r="G64" s="383"/>
      <c r="H64" s="387">
        <v>0</v>
      </c>
      <c r="I64" s="383">
        <v>75</v>
      </c>
      <c r="J64" s="387">
        <v>0</v>
      </c>
      <c r="K64" s="422">
        <f aca="true" t="shared" si="3" ref="K64:K100">H64+I64+J64</f>
        <v>75</v>
      </c>
      <c r="M64" s="178"/>
    </row>
    <row r="65" spans="1:13" s="176" customFormat="1" ht="38.25">
      <c r="A65" s="421"/>
      <c r="B65" s="175" t="s">
        <v>32</v>
      </c>
      <c r="C65" s="407"/>
      <c r="D65" s="410"/>
      <c r="E65" s="397" t="s">
        <v>425</v>
      </c>
      <c r="F65" s="383">
        <v>0</v>
      </c>
      <c r="G65" s="387">
        <v>0</v>
      </c>
      <c r="H65" s="387">
        <v>0</v>
      </c>
      <c r="I65" s="383">
        <v>0</v>
      </c>
      <c r="J65" s="387">
        <v>0</v>
      </c>
      <c r="K65" s="422">
        <f t="shared" si="3"/>
        <v>0</v>
      </c>
      <c r="M65" s="178"/>
    </row>
    <row r="66" spans="1:13" s="176" customFormat="1" ht="15.75" customHeight="1">
      <c r="A66" s="421"/>
      <c r="B66" s="1064" t="s">
        <v>34</v>
      </c>
      <c r="C66" s="407"/>
      <c r="D66" s="410"/>
      <c r="E66" s="397" t="s">
        <v>419</v>
      </c>
      <c r="F66" s="383">
        <v>0</v>
      </c>
      <c r="G66" s="387">
        <v>0</v>
      </c>
      <c r="H66" s="387">
        <v>0</v>
      </c>
      <c r="I66" s="383">
        <v>0</v>
      </c>
      <c r="J66" s="387">
        <v>0</v>
      </c>
      <c r="K66" s="422">
        <f t="shared" si="3"/>
        <v>0</v>
      </c>
      <c r="M66" s="178"/>
    </row>
    <row r="67" spans="1:13" s="176" customFormat="1" ht="15.75" customHeight="1" thickBot="1">
      <c r="A67" s="425"/>
      <c r="B67" s="1065"/>
      <c r="C67" s="426"/>
      <c r="D67" s="427"/>
      <c r="E67" s="398" t="s">
        <v>423</v>
      </c>
      <c r="F67" s="384">
        <v>225</v>
      </c>
      <c r="G67" s="388">
        <v>0</v>
      </c>
      <c r="H67" s="388">
        <v>0</v>
      </c>
      <c r="I67" s="384">
        <v>225</v>
      </c>
      <c r="J67" s="384"/>
      <c r="K67" s="428">
        <f t="shared" si="3"/>
        <v>225</v>
      </c>
      <c r="M67" s="178"/>
    </row>
    <row r="68" spans="1:13" s="176" customFormat="1" ht="18.75" customHeight="1">
      <c r="A68" s="423" t="s">
        <v>578</v>
      </c>
      <c r="B68" s="331" t="s">
        <v>5</v>
      </c>
      <c r="C68" s="407">
        <v>75</v>
      </c>
      <c r="D68" s="410" t="s">
        <v>23</v>
      </c>
      <c r="E68" s="401" t="s">
        <v>422</v>
      </c>
      <c r="F68" s="386">
        <f>F69+F70+F71+F72</f>
        <v>1000</v>
      </c>
      <c r="G68" s="386">
        <f>G69+G70+G71+G72</f>
        <v>0</v>
      </c>
      <c r="H68" s="386">
        <f>H69+H70+H71+H72</f>
        <v>0</v>
      </c>
      <c r="I68" s="386">
        <f>I69+I70+I71+I72</f>
        <v>0</v>
      </c>
      <c r="J68" s="386">
        <f>J69+J70+J71+J72</f>
        <v>1000</v>
      </c>
      <c r="K68" s="420">
        <f t="shared" si="3"/>
        <v>1000</v>
      </c>
      <c r="M68" s="178"/>
    </row>
    <row r="69" spans="1:13" s="176" customFormat="1" ht="25.5">
      <c r="A69" s="421"/>
      <c r="B69" s="175" t="s">
        <v>33</v>
      </c>
      <c r="C69" s="407"/>
      <c r="D69" s="410"/>
      <c r="E69" s="397" t="s">
        <v>571</v>
      </c>
      <c r="F69" s="383">
        <v>110</v>
      </c>
      <c r="G69" s="387">
        <v>0</v>
      </c>
      <c r="H69" s="387">
        <v>0</v>
      </c>
      <c r="I69" s="387">
        <v>0</v>
      </c>
      <c r="J69" s="383">
        <v>110</v>
      </c>
      <c r="K69" s="422">
        <f t="shared" si="3"/>
        <v>110</v>
      </c>
      <c r="M69" s="178"/>
    </row>
    <row r="70" spans="1:13" s="176" customFormat="1" ht="38.25">
      <c r="A70" s="421"/>
      <c r="B70" s="175" t="s">
        <v>32</v>
      </c>
      <c r="C70" s="407"/>
      <c r="D70" s="410"/>
      <c r="E70" s="397" t="s">
        <v>425</v>
      </c>
      <c r="F70" s="383">
        <v>0</v>
      </c>
      <c r="G70" s="387">
        <v>0</v>
      </c>
      <c r="H70" s="387">
        <v>0</v>
      </c>
      <c r="I70" s="387">
        <v>0</v>
      </c>
      <c r="J70" s="383">
        <v>0</v>
      </c>
      <c r="K70" s="422">
        <f t="shared" si="3"/>
        <v>0</v>
      </c>
      <c r="M70" s="178"/>
    </row>
    <row r="71" spans="1:13" s="176" customFormat="1" ht="15.75" customHeight="1">
      <c r="A71" s="421"/>
      <c r="B71" s="1064" t="s">
        <v>36</v>
      </c>
      <c r="C71" s="407"/>
      <c r="D71" s="410"/>
      <c r="E71" s="397" t="s">
        <v>419</v>
      </c>
      <c r="F71" s="383">
        <v>40</v>
      </c>
      <c r="G71" s="387">
        <v>0</v>
      </c>
      <c r="H71" s="387">
        <v>0</v>
      </c>
      <c r="I71" s="387">
        <v>0</v>
      </c>
      <c r="J71" s="383">
        <v>40</v>
      </c>
      <c r="K71" s="422">
        <f t="shared" si="3"/>
        <v>40</v>
      </c>
      <c r="M71" s="178"/>
    </row>
    <row r="72" spans="1:13" s="176" customFormat="1" ht="15.75" customHeight="1" thickBot="1">
      <c r="A72" s="425"/>
      <c r="B72" s="1065"/>
      <c r="C72" s="426"/>
      <c r="D72" s="427"/>
      <c r="E72" s="398" t="s">
        <v>423</v>
      </c>
      <c r="F72" s="384">
        <v>850</v>
      </c>
      <c r="G72" s="388">
        <v>0</v>
      </c>
      <c r="H72" s="388">
        <v>0</v>
      </c>
      <c r="I72" s="388">
        <v>0</v>
      </c>
      <c r="J72" s="384">
        <v>850</v>
      </c>
      <c r="K72" s="428">
        <f t="shared" si="3"/>
        <v>850</v>
      </c>
      <c r="M72" s="178"/>
    </row>
    <row r="73" spans="1:13" s="176" customFormat="1" ht="18.75" customHeight="1">
      <c r="A73" s="423" t="s">
        <v>579</v>
      </c>
      <c r="B73" s="331" t="s">
        <v>5</v>
      </c>
      <c r="C73" s="407">
        <v>75</v>
      </c>
      <c r="D73" s="410" t="s">
        <v>22</v>
      </c>
      <c r="E73" s="401" t="s">
        <v>422</v>
      </c>
      <c r="F73" s="386">
        <f>F74+F75+F76+F77</f>
        <v>1609</v>
      </c>
      <c r="G73" s="386">
        <f>G74+G75+G76+G77</f>
        <v>0</v>
      </c>
      <c r="H73" s="386">
        <f>H74+H75+H76+H77</f>
        <v>9</v>
      </c>
      <c r="I73" s="386">
        <f>I74+I75+I76+I77</f>
        <v>1600</v>
      </c>
      <c r="J73" s="386">
        <f>J74+J75+J76+J77</f>
        <v>0</v>
      </c>
      <c r="K73" s="420">
        <f t="shared" si="3"/>
        <v>1609</v>
      </c>
      <c r="M73" s="178"/>
    </row>
    <row r="74" spans="1:13" s="176" customFormat="1" ht="25.5">
      <c r="A74" s="421"/>
      <c r="B74" s="175" t="s">
        <v>33</v>
      </c>
      <c r="C74" s="407"/>
      <c r="D74" s="410"/>
      <c r="E74" s="397" t="s">
        <v>571</v>
      </c>
      <c r="F74" s="383">
        <f>K74</f>
        <v>109</v>
      </c>
      <c r="G74" s="387">
        <v>0</v>
      </c>
      <c r="H74" s="392">
        <v>9</v>
      </c>
      <c r="I74" s="389">
        <v>100</v>
      </c>
      <c r="J74" s="383"/>
      <c r="K74" s="422">
        <f t="shared" si="3"/>
        <v>109</v>
      </c>
      <c r="M74" s="178"/>
    </row>
    <row r="75" spans="1:13" s="176" customFormat="1" ht="38.25">
      <c r="A75" s="421"/>
      <c r="B75" s="175" t="s">
        <v>32</v>
      </c>
      <c r="C75" s="407"/>
      <c r="D75" s="410"/>
      <c r="E75" s="397" t="s">
        <v>425</v>
      </c>
      <c r="F75" s="383">
        <v>0</v>
      </c>
      <c r="G75" s="387">
        <v>0</v>
      </c>
      <c r="H75" s="387">
        <v>0</v>
      </c>
      <c r="I75" s="387">
        <v>0</v>
      </c>
      <c r="J75" s="383"/>
      <c r="K75" s="422">
        <f t="shared" si="3"/>
        <v>0</v>
      </c>
      <c r="M75" s="178"/>
    </row>
    <row r="76" spans="1:13" s="176" customFormat="1" ht="15.75" customHeight="1">
      <c r="A76" s="421"/>
      <c r="B76" s="1064" t="s">
        <v>39</v>
      </c>
      <c r="C76" s="407"/>
      <c r="D76" s="410"/>
      <c r="E76" s="397" t="s">
        <v>419</v>
      </c>
      <c r="F76" s="383">
        <v>140</v>
      </c>
      <c r="G76" s="387">
        <v>0</v>
      </c>
      <c r="H76" s="387">
        <v>0</v>
      </c>
      <c r="I76" s="389">
        <v>140</v>
      </c>
      <c r="J76" s="383"/>
      <c r="K76" s="422">
        <f t="shared" si="3"/>
        <v>140</v>
      </c>
      <c r="M76" s="178"/>
    </row>
    <row r="77" spans="1:13" s="176" customFormat="1" ht="15.75" customHeight="1" thickBot="1">
      <c r="A77" s="425"/>
      <c r="B77" s="1065"/>
      <c r="C77" s="426"/>
      <c r="D77" s="427"/>
      <c r="E77" s="398" t="s">
        <v>423</v>
      </c>
      <c r="F77" s="384">
        <v>1360</v>
      </c>
      <c r="G77" s="388">
        <v>0</v>
      </c>
      <c r="H77" s="388">
        <v>0</v>
      </c>
      <c r="I77" s="393">
        <v>1360</v>
      </c>
      <c r="J77" s="384"/>
      <c r="K77" s="428">
        <f t="shared" si="3"/>
        <v>1360</v>
      </c>
      <c r="M77" s="178"/>
    </row>
    <row r="78" spans="1:13" s="176" customFormat="1" ht="19.5" customHeight="1">
      <c r="A78" s="423" t="s">
        <v>580</v>
      </c>
      <c r="B78" s="331" t="s">
        <v>5</v>
      </c>
      <c r="C78" s="407">
        <v>23</v>
      </c>
      <c r="D78" s="410">
        <v>600.60016</v>
      </c>
      <c r="E78" s="401" t="s">
        <v>422</v>
      </c>
      <c r="F78" s="386">
        <f>F79+F80+F81+F82</f>
        <v>610</v>
      </c>
      <c r="G78" s="386">
        <f>G79+G80+G81+G82</f>
        <v>0</v>
      </c>
      <c r="H78" s="386">
        <f>H79+H80+H81+H82</f>
        <v>10</v>
      </c>
      <c r="I78" s="386">
        <f>I79+I80+I81+I82</f>
        <v>600</v>
      </c>
      <c r="J78" s="386">
        <f>J79+J80+J81+J82</f>
        <v>0</v>
      </c>
      <c r="K78" s="420">
        <f t="shared" si="3"/>
        <v>610</v>
      </c>
      <c r="M78" s="178"/>
    </row>
    <row r="79" spans="1:13" s="176" customFormat="1" ht="25.5">
      <c r="A79" s="421"/>
      <c r="B79" s="175" t="s">
        <v>40</v>
      </c>
      <c r="C79" s="407"/>
      <c r="D79" s="410"/>
      <c r="E79" s="397" t="s">
        <v>571</v>
      </c>
      <c r="F79" s="383">
        <f>K79</f>
        <v>310</v>
      </c>
      <c r="G79" s="387">
        <v>0</v>
      </c>
      <c r="H79" s="383">
        <v>10</v>
      </c>
      <c r="I79" s="383">
        <v>300</v>
      </c>
      <c r="J79" s="387">
        <v>0</v>
      </c>
      <c r="K79" s="422">
        <f t="shared" si="3"/>
        <v>310</v>
      </c>
      <c r="M79" s="178"/>
    </row>
    <row r="80" spans="1:13" s="176" customFormat="1" ht="16.5" customHeight="1">
      <c r="A80" s="421"/>
      <c r="B80" s="175" t="s">
        <v>41</v>
      </c>
      <c r="C80" s="407"/>
      <c r="D80" s="410"/>
      <c r="E80" s="397" t="s">
        <v>425</v>
      </c>
      <c r="F80" s="383">
        <f>K80</f>
        <v>0</v>
      </c>
      <c r="G80" s="387">
        <v>0</v>
      </c>
      <c r="H80" s="383">
        <v>0</v>
      </c>
      <c r="I80" s="383">
        <v>0</v>
      </c>
      <c r="J80" s="387">
        <v>0</v>
      </c>
      <c r="K80" s="422">
        <f t="shared" si="3"/>
        <v>0</v>
      </c>
      <c r="M80" s="178"/>
    </row>
    <row r="81" spans="1:13" s="176" customFormat="1" ht="15.75" customHeight="1">
      <c r="A81" s="421"/>
      <c r="B81" s="1064" t="s">
        <v>42</v>
      </c>
      <c r="C81" s="407"/>
      <c r="D81" s="410"/>
      <c r="E81" s="397" t="s">
        <v>419</v>
      </c>
      <c r="F81" s="383">
        <f>K81</f>
        <v>0</v>
      </c>
      <c r="G81" s="387">
        <v>0</v>
      </c>
      <c r="H81" s="383">
        <v>0</v>
      </c>
      <c r="I81" s="383">
        <v>0</v>
      </c>
      <c r="J81" s="387">
        <v>0</v>
      </c>
      <c r="K81" s="422">
        <f t="shared" si="3"/>
        <v>0</v>
      </c>
      <c r="M81" s="178"/>
    </row>
    <row r="82" spans="1:13" s="176" customFormat="1" ht="15.75" customHeight="1" thickBot="1">
      <c r="A82" s="425"/>
      <c r="B82" s="1065"/>
      <c r="C82" s="426"/>
      <c r="D82" s="427"/>
      <c r="E82" s="398" t="s">
        <v>423</v>
      </c>
      <c r="F82" s="384">
        <f>K82</f>
        <v>300</v>
      </c>
      <c r="G82" s="388">
        <v>0</v>
      </c>
      <c r="H82" s="384"/>
      <c r="I82" s="384">
        <v>300</v>
      </c>
      <c r="J82" s="388">
        <v>0</v>
      </c>
      <c r="K82" s="428">
        <f t="shared" si="3"/>
        <v>300</v>
      </c>
      <c r="M82" s="178"/>
    </row>
    <row r="83" spans="1:13" s="176" customFormat="1" ht="15.75">
      <c r="A83" s="419" t="s">
        <v>581</v>
      </c>
      <c r="B83" s="331" t="s">
        <v>44</v>
      </c>
      <c r="C83" s="407"/>
      <c r="D83" s="410">
        <v>600.60016</v>
      </c>
      <c r="E83" s="401" t="s">
        <v>422</v>
      </c>
      <c r="F83" s="795">
        <f>F84+F85+F86+F87</f>
        <v>245.5</v>
      </c>
      <c r="G83" s="795">
        <f>G84+G85+G86+G87</f>
        <v>65.5</v>
      </c>
      <c r="H83" s="386">
        <f>H84+H85+H86+H87</f>
        <v>90</v>
      </c>
      <c r="I83" s="386">
        <f>I84+I85+I86+I87</f>
        <v>90</v>
      </c>
      <c r="J83" s="386">
        <f>J84+J85+J86+J87</f>
        <v>0</v>
      </c>
      <c r="K83" s="420">
        <f t="shared" si="3"/>
        <v>180</v>
      </c>
      <c r="M83" s="178"/>
    </row>
    <row r="84" spans="1:13" s="176" customFormat="1" ht="15.75">
      <c r="A84" s="421"/>
      <c r="B84" s="175" t="s">
        <v>14</v>
      </c>
      <c r="C84" s="407"/>
      <c r="D84" s="410"/>
      <c r="E84" s="397" t="s">
        <v>571</v>
      </c>
      <c r="F84" s="796">
        <v>225.5</v>
      </c>
      <c r="G84" s="796">
        <v>65.5</v>
      </c>
      <c r="H84" s="383">
        <v>90</v>
      </c>
      <c r="I84" s="383">
        <v>80</v>
      </c>
      <c r="J84" s="387">
        <v>0</v>
      </c>
      <c r="K84" s="422">
        <f t="shared" si="3"/>
        <v>170</v>
      </c>
      <c r="M84" s="178"/>
    </row>
    <row r="85" spans="1:13" s="176" customFormat="1" ht="15.75">
      <c r="A85" s="421"/>
      <c r="B85" s="175" t="s">
        <v>575</v>
      </c>
      <c r="C85" s="407"/>
      <c r="D85" s="410"/>
      <c r="E85" s="397" t="s">
        <v>425</v>
      </c>
      <c r="F85" s="383">
        <v>20</v>
      </c>
      <c r="G85" s="383"/>
      <c r="H85" s="383">
        <v>0</v>
      </c>
      <c r="I85" s="383">
        <v>10</v>
      </c>
      <c r="J85" s="387">
        <v>0</v>
      </c>
      <c r="K85" s="422">
        <f t="shared" si="3"/>
        <v>10</v>
      </c>
      <c r="M85" s="178"/>
    </row>
    <row r="86" spans="1:13" s="176" customFormat="1" ht="15.75" customHeight="1">
      <c r="A86" s="421"/>
      <c r="B86" s="1064" t="s">
        <v>43</v>
      </c>
      <c r="C86" s="407"/>
      <c r="D86" s="410"/>
      <c r="E86" s="397" t="s">
        <v>419</v>
      </c>
      <c r="F86" s="383">
        <v>0</v>
      </c>
      <c r="G86" s="383"/>
      <c r="H86" s="383">
        <v>0</v>
      </c>
      <c r="I86" s="383"/>
      <c r="J86" s="387">
        <v>0</v>
      </c>
      <c r="K86" s="422">
        <f t="shared" si="3"/>
        <v>0</v>
      </c>
      <c r="M86" s="178"/>
    </row>
    <row r="87" spans="1:13" s="176" customFormat="1" ht="15.75" customHeight="1" thickBot="1">
      <c r="A87" s="425"/>
      <c r="B87" s="1065"/>
      <c r="C87" s="426"/>
      <c r="D87" s="427"/>
      <c r="E87" s="398" t="s">
        <v>641</v>
      </c>
      <c r="F87" s="384">
        <v>0</v>
      </c>
      <c r="G87" s="384"/>
      <c r="H87" s="384">
        <v>0</v>
      </c>
      <c r="I87" s="384"/>
      <c r="J87" s="384"/>
      <c r="K87" s="428">
        <f t="shared" si="3"/>
        <v>0</v>
      </c>
      <c r="M87" s="178"/>
    </row>
    <row r="88" spans="1:11" s="172" customFormat="1" ht="9" customHeight="1" thickBot="1">
      <c r="A88" s="375"/>
      <c r="B88" s="375"/>
      <c r="C88" s="375"/>
      <c r="D88" s="375"/>
      <c r="E88" s="375"/>
      <c r="F88" s="375"/>
      <c r="G88" s="375"/>
      <c r="H88" s="375"/>
      <c r="I88" s="375"/>
      <c r="J88" s="375"/>
      <c r="K88" s="376"/>
    </row>
    <row r="89" spans="1:11" s="172" customFormat="1" ht="24" customHeight="1">
      <c r="A89" s="1054" t="s">
        <v>35</v>
      </c>
      <c r="B89" s="1057" t="s">
        <v>116</v>
      </c>
      <c r="C89" s="1057" t="s">
        <v>117</v>
      </c>
      <c r="D89" s="1057" t="s">
        <v>427</v>
      </c>
      <c r="E89" s="1060" t="s">
        <v>413</v>
      </c>
      <c r="F89" s="1061"/>
      <c r="G89" s="1062"/>
      <c r="H89" s="1047" t="s">
        <v>600</v>
      </c>
      <c r="I89" s="1048"/>
      <c r="J89" s="1048"/>
      <c r="K89" s="1049"/>
    </row>
    <row r="90" spans="1:11" s="172" customFormat="1" ht="6" customHeight="1">
      <c r="A90" s="1055"/>
      <c r="B90" s="1058"/>
      <c r="C90" s="1058"/>
      <c r="D90" s="1058"/>
      <c r="E90" s="1058" t="s">
        <v>414</v>
      </c>
      <c r="F90" s="1058" t="s">
        <v>6</v>
      </c>
      <c r="G90" s="1045" t="s">
        <v>7</v>
      </c>
      <c r="H90" s="1050"/>
      <c r="I90" s="1051"/>
      <c r="J90" s="1051"/>
      <c r="K90" s="1052"/>
    </row>
    <row r="91" spans="1:11" s="172" customFormat="1" ht="21" customHeight="1" thickBot="1">
      <c r="A91" s="1056"/>
      <c r="B91" s="1059"/>
      <c r="C91" s="1059"/>
      <c r="D91" s="1059"/>
      <c r="E91" s="1059"/>
      <c r="F91" s="1059"/>
      <c r="G91" s="1046"/>
      <c r="H91" s="379" t="s">
        <v>609</v>
      </c>
      <c r="I91" s="379" t="s">
        <v>415</v>
      </c>
      <c r="J91" s="379" t="s">
        <v>495</v>
      </c>
      <c r="K91" s="380" t="s">
        <v>2</v>
      </c>
    </row>
    <row r="92" spans="1:11" s="173" customFormat="1" ht="8.25" customHeight="1">
      <c r="A92" s="417">
        <v>1</v>
      </c>
      <c r="B92" s="377">
        <v>2</v>
      </c>
      <c r="C92" s="377">
        <v>3</v>
      </c>
      <c r="D92" s="377">
        <v>4</v>
      </c>
      <c r="E92" s="377">
        <v>5</v>
      </c>
      <c r="F92" s="378">
        <v>6</v>
      </c>
      <c r="G92" s="378">
        <v>7</v>
      </c>
      <c r="H92" s="378">
        <v>8</v>
      </c>
      <c r="I92" s="378">
        <v>9</v>
      </c>
      <c r="J92" s="378">
        <v>10</v>
      </c>
      <c r="K92" s="418">
        <v>11</v>
      </c>
    </row>
    <row r="93" spans="1:13" s="176" customFormat="1" ht="20.25" customHeight="1">
      <c r="A93" s="419" t="s">
        <v>505</v>
      </c>
      <c r="B93" s="434" t="s">
        <v>5</v>
      </c>
      <c r="C93" s="407">
        <v>41</v>
      </c>
      <c r="D93" s="410" t="s">
        <v>24</v>
      </c>
      <c r="E93" s="401" t="s">
        <v>422</v>
      </c>
      <c r="F93" s="385">
        <f>F94+F95+F96+F97</f>
        <v>800</v>
      </c>
      <c r="G93" s="385">
        <f>G94+G95+G96+G97</f>
        <v>0</v>
      </c>
      <c r="H93" s="385">
        <f>H94+H95+H96+H97</f>
        <v>800</v>
      </c>
      <c r="I93" s="385">
        <f>I94+I95+I96+I97</f>
        <v>0</v>
      </c>
      <c r="J93" s="385">
        <f>J94+J95+J96+J97</f>
        <v>0</v>
      </c>
      <c r="K93" s="420">
        <f t="shared" si="3"/>
        <v>800</v>
      </c>
      <c r="M93" s="178"/>
    </row>
    <row r="94" spans="1:13" s="176" customFormat="1" ht="25.5">
      <c r="A94" s="421"/>
      <c r="B94" s="175" t="s">
        <v>45</v>
      </c>
      <c r="C94" s="407"/>
      <c r="D94" s="410"/>
      <c r="E94" s="397" t="s">
        <v>571</v>
      </c>
      <c r="F94" s="383">
        <f>K94</f>
        <v>20</v>
      </c>
      <c r="G94" s="383">
        <v>0</v>
      </c>
      <c r="H94" s="383">
        <v>20</v>
      </c>
      <c r="I94" s="387">
        <v>0</v>
      </c>
      <c r="J94" s="387">
        <v>0</v>
      </c>
      <c r="K94" s="422">
        <f t="shared" si="3"/>
        <v>20</v>
      </c>
      <c r="M94" s="178"/>
    </row>
    <row r="95" spans="1:13" s="176" customFormat="1" ht="18.75" customHeight="1">
      <c r="A95" s="421"/>
      <c r="B95" s="175" t="s">
        <v>46</v>
      </c>
      <c r="C95" s="407"/>
      <c r="D95" s="410"/>
      <c r="E95" s="397" t="s">
        <v>425</v>
      </c>
      <c r="F95" s="383">
        <f>K95</f>
        <v>25</v>
      </c>
      <c r="G95" s="383">
        <v>0</v>
      </c>
      <c r="H95" s="383">
        <v>25</v>
      </c>
      <c r="I95" s="383"/>
      <c r="J95" s="383"/>
      <c r="K95" s="422">
        <f t="shared" si="3"/>
        <v>25</v>
      </c>
      <c r="M95" s="178"/>
    </row>
    <row r="96" spans="1:13" s="176" customFormat="1" ht="18.75" customHeight="1">
      <c r="A96" s="421"/>
      <c r="B96" s="1064" t="s">
        <v>47</v>
      </c>
      <c r="C96" s="407"/>
      <c r="D96" s="410"/>
      <c r="E96" s="397" t="s">
        <v>419</v>
      </c>
      <c r="F96" s="383">
        <f>K96</f>
        <v>75</v>
      </c>
      <c r="G96" s="383">
        <v>0</v>
      </c>
      <c r="H96" s="383">
        <v>75</v>
      </c>
      <c r="I96" s="387">
        <v>0</v>
      </c>
      <c r="J96" s="387">
        <v>0</v>
      </c>
      <c r="K96" s="422">
        <f t="shared" si="3"/>
        <v>75</v>
      </c>
      <c r="M96" s="178"/>
    </row>
    <row r="97" spans="1:13" s="176" customFormat="1" ht="18.75" customHeight="1" thickBot="1">
      <c r="A97" s="425"/>
      <c r="B97" s="1065"/>
      <c r="C97" s="426"/>
      <c r="D97" s="427"/>
      <c r="E97" s="398" t="s">
        <v>423</v>
      </c>
      <c r="F97" s="384">
        <f>K97</f>
        <v>680</v>
      </c>
      <c r="G97" s="384"/>
      <c r="H97" s="384">
        <v>680</v>
      </c>
      <c r="I97" s="384"/>
      <c r="J97" s="384"/>
      <c r="K97" s="428">
        <f t="shared" si="3"/>
        <v>680</v>
      </c>
      <c r="M97" s="178"/>
    </row>
    <row r="98" spans="1:13" s="176" customFormat="1" ht="20.25" customHeight="1">
      <c r="A98" s="423" t="s">
        <v>555</v>
      </c>
      <c r="B98" s="331" t="s">
        <v>48</v>
      </c>
      <c r="C98" s="407"/>
      <c r="D98" s="410" t="s">
        <v>25</v>
      </c>
      <c r="E98" s="401" t="s">
        <v>422</v>
      </c>
      <c r="F98" s="386">
        <f>F99+F100+F101+F102</f>
        <v>250</v>
      </c>
      <c r="G98" s="386">
        <f>G99+G100+G101+G102</f>
        <v>0</v>
      </c>
      <c r="H98" s="386">
        <f>H99+H100+H101+H102</f>
        <v>250</v>
      </c>
      <c r="I98" s="386">
        <f>I99+I100+I101+I102</f>
        <v>0</v>
      </c>
      <c r="J98" s="386">
        <f>J99+J100+J101+J102</f>
        <v>0</v>
      </c>
      <c r="K98" s="420">
        <f t="shared" si="3"/>
        <v>250</v>
      </c>
      <c r="M98" s="178"/>
    </row>
    <row r="99" spans="1:13" s="176" customFormat="1" ht="18" customHeight="1">
      <c r="A99" s="421"/>
      <c r="B99" s="175" t="s">
        <v>14</v>
      </c>
      <c r="C99" s="407"/>
      <c r="D99" s="410"/>
      <c r="E99" s="397" t="s">
        <v>571</v>
      </c>
      <c r="F99" s="383">
        <v>25</v>
      </c>
      <c r="G99" s="383">
        <v>0</v>
      </c>
      <c r="H99" s="383">
        <v>25</v>
      </c>
      <c r="I99" s="387">
        <v>0</v>
      </c>
      <c r="J99" s="387">
        <v>0</v>
      </c>
      <c r="K99" s="422">
        <f t="shared" si="3"/>
        <v>25</v>
      </c>
      <c r="M99" s="178"/>
    </row>
    <row r="100" spans="1:13" s="176" customFormat="1" ht="18.75" customHeight="1">
      <c r="A100" s="421"/>
      <c r="B100" s="175" t="s">
        <v>575</v>
      </c>
      <c r="C100" s="407"/>
      <c r="D100" s="410"/>
      <c r="E100" s="397" t="s">
        <v>425</v>
      </c>
      <c r="F100" s="383">
        <v>225</v>
      </c>
      <c r="G100" s="383">
        <v>0</v>
      </c>
      <c r="H100" s="383">
        <v>225</v>
      </c>
      <c r="I100" s="387">
        <v>0</v>
      </c>
      <c r="J100" s="387">
        <v>0</v>
      </c>
      <c r="K100" s="422">
        <f t="shared" si="3"/>
        <v>225</v>
      </c>
      <c r="M100" s="178"/>
    </row>
    <row r="101" spans="1:13" s="176" customFormat="1" ht="18.75" customHeight="1">
      <c r="A101" s="421"/>
      <c r="B101" s="1064" t="s">
        <v>49</v>
      </c>
      <c r="C101" s="407"/>
      <c r="D101" s="410"/>
      <c r="E101" s="397" t="s">
        <v>419</v>
      </c>
      <c r="F101" s="383">
        <v>0</v>
      </c>
      <c r="G101" s="383">
        <v>0</v>
      </c>
      <c r="H101" s="383">
        <v>0</v>
      </c>
      <c r="I101" s="387">
        <v>0</v>
      </c>
      <c r="J101" s="387">
        <v>0</v>
      </c>
      <c r="K101" s="422">
        <f aca="true" t="shared" si="4" ref="K101:K107">H101+I101+J101</f>
        <v>0</v>
      </c>
      <c r="M101" s="178"/>
    </row>
    <row r="102" spans="1:13" s="176" customFormat="1" ht="18.75" customHeight="1" thickBot="1">
      <c r="A102" s="425"/>
      <c r="B102" s="1065"/>
      <c r="C102" s="426"/>
      <c r="D102" s="427"/>
      <c r="E102" s="398" t="s">
        <v>641</v>
      </c>
      <c r="F102" s="384">
        <v>0</v>
      </c>
      <c r="G102" s="384"/>
      <c r="H102" s="384">
        <v>0</v>
      </c>
      <c r="I102" s="388">
        <v>0</v>
      </c>
      <c r="J102" s="388">
        <v>0</v>
      </c>
      <c r="K102" s="428">
        <f t="shared" si="4"/>
        <v>0</v>
      </c>
      <c r="M102" s="178"/>
    </row>
    <row r="103" spans="1:13" s="176" customFormat="1" ht="20.25" customHeight="1">
      <c r="A103" s="423" t="s">
        <v>507</v>
      </c>
      <c r="B103" s="331" t="s">
        <v>12</v>
      </c>
      <c r="C103" s="407"/>
      <c r="D103" s="410" t="s">
        <v>26</v>
      </c>
      <c r="E103" s="401" t="s">
        <v>422</v>
      </c>
      <c r="F103" s="386">
        <f>F104+F105+F106+F107</f>
        <v>500</v>
      </c>
      <c r="G103" s="386">
        <f>G104+G105+G106+G107</f>
        <v>0</v>
      </c>
      <c r="H103" s="386">
        <f>H104+H105+H106+H107</f>
        <v>0</v>
      </c>
      <c r="I103" s="386">
        <f>I104+I105+I106+I107</f>
        <v>85</v>
      </c>
      <c r="J103" s="386">
        <f>J104+J105+J106+J107</f>
        <v>85</v>
      </c>
      <c r="K103" s="420">
        <f t="shared" si="4"/>
        <v>170</v>
      </c>
      <c r="M103" s="178"/>
    </row>
    <row r="104" spans="1:13" s="176" customFormat="1" ht="18.75" customHeight="1">
      <c r="A104" s="421"/>
      <c r="B104" s="175" t="s">
        <v>14</v>
      </c>
      <c r="C104" s="399"/>
      <c r="D104" s="410"/>
      <c r="E104" s="397" t="s">
        <v>424</v>
      </c>
      <c r="F104" s="383">
        <v>200</v>
      </c>
      <c r="G104" s="387">
        <v>0</v>
      </c>
      <c r="H104" s="387">
        <v>0</v>
      </c>
      <c r="I104" s="389">
        <v>35</v>
      </c>
      <c r="J104" s="389">
        <v>35</v>
      </c>
      <c r="K104" s="422">
        <f t="shared" si="4"/>
        <v>70</v>
      </c>
      <c r="M104" s="178"/>
    </row>
    <row r="105" spans="1:13" s="176" customFormat="1" ht="18.75" customHeight="1">
      <c r="A105" s="421"/>
      <c r="B105" s="175" t="s">
        <v>575</v>
      </c>
      <c r="C105" s="399"/>
      <c r="D105" s="410"/>
      <c r="E105" s="397" t="s">
        <v>425</v>
      </c>
      <c r="F105" s="383">
        <v>0</v>
      </c>
      <c r="G105" s="387">
        <v>0</v>
      </c>
      <c r="H105" s="387">
        <v>0</v>
      </c>
      <c r="I105" s="387">
        <v>0</v>
      </c>
      <c r="J105" s="387">
        <v>0</v>
      </c>
      <c r="K105" s="422">
        <f t="shared" si="4"/>
        <v>0</v>
      </c>
      <c r="M105" s="178"/>
    </row>
    <row r="106" spans="1:13" s="176" customFormat="1" ht="18.75" customHeight="1">
      <c r="A106" s="421"/>
      <c r="B106" s="1064" t="s">
        <v>50</v>
      </c>
      <c r="C106" s="399"/>
      <c r="D106" s="410"/>
      <c r="E106" s="397" t="s">
        <v>419</v>
      </c>
      <c r="F106" s="383">
        <v>300</v>
      </c>
      <c r="G106" s="387">
        <v>0</v>
      </c>
      <c r="H106" s="387">
        <v>0</v>
      </c>
      <c r="I106" s="389">
        <v>50</v>
      </c>
      <c r="J106" s="389">
        <v>50</v>
      </c>
      <c r="K106" s="422">
        <f t="shared" si="4"/>
        <v>100</v>
      </c>
      <c r="M106" s="178"/>
    </row>
    <row r="107" spans="1:13" s="176" customFormat="1" ht="18.75" customHeight="1" thickBot="1">
      <c r="A107" s="421"/>
      <c r="B107" s="1065"/>
      <c r="C107" s="399"/>
      <c r="D107" s="404"/>
      <c r="E107" s="403" t="s">
        <v>641</v>
      </c>
      <c r="F107" s="390">
        <v>0</v>
      </c>
      <c r="G107" s="391">
        <v>0</v>
      </c>
      <c r="H107" s="391">
        <v>0</v>
      </c>
      <c r="I107" s="391">
        <v>0</v>
      </c>
      <c r="J107" s="391">
        <v>0</v>
      </c>
      <c r="K107" s="424">
        <f t="shared" si="4"/>
        <v>0</v>
      </c>
      <c r="M107" s="178"/>
    </row>
    <row r="108" spans="1:11" s="174" customFormat="1" ht="22.5" customHeight="1" thickBot="1">
      <c r="A108" s="373"/>
      <c r="B108" s="374"/>
      <c r="C108" s="374"/>
      <c r="D108" s="374"/>
      <c r="E108" s="396" t="s">
        <v>426</v>
      </c>
      <c r="F108" s="801">
        <f aca="true" t="shared" si="5" ref="F108:K108">F103+F98+F93+F83+F78+F73+F68+F63+F53+F48+F43+F38+F33+F23+F18+F13+F8</f>
        <v>25994.5</v>
      </c>
      <c r="G108" s="801">
        <f t="shared" si="5"/>
        <v>170.5</v>
      </c>
      <c r="H108" s="394">
        <f t="shared" si="5"/>
        <v>11159</v>
      </c>
      <c r="I108" s="394">
        <f t="shared" si="5"/>
        <v>9465</v>
      </c>
      <c r="J108" s="394">
        <f t="shared" si="5"/>
        <v>2885</v>
      </c>
      <c r="K108" s="395">
        <f t="shared" si="5"/>
        <v>23509</v>
      </c>
    </row>
    <row r="109" spans="1:11" s="174" customFormat="1" ht="22.5" customHeight="1">
      <c r="A109" s="370"/>
      <c r="B109" s="176"/>
      <c r="C109" s="176"/>
      <c r="D109" s="176"/>
      <c r="E109" s="371"/>
      <c r="F109" s="372"/>
      <c r="G109" s="372"/>
      <c r="H109" s="372"/>
      <c r="I109" s="372"/>
      <c r="J109" s="372"/>
      <c r="K109" s="372"/>
    </row>
    <row r="110" spans="2:11" ht="12.75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</row>
    <row r="111" spans="2:11" ht="12.75">
      <c r="B111" s="332" t="s">
        <v>1</v>
      </c>
      <c r="C111" s="145"/>
      <c r="D111" s="145"/>
      <c r="E111" s="145"/>
      <c r="F111" s="145"/>
      <c r="G111" s="145"/>
      <c r="H111" s="145"/>
      <c r="I111" s="145"/>
      <c r="J111" s="145"/>
      <c r="K111" s="145"/>
    </row>
    <row r="112" spans="2:11" ht="12.75">
      <c r="B112" s="1063" t="s">
        <v>0</v>
      </c>
      <c r="C112" s="1063"/>
      <c r="D112" s="1063"/>
      <c r="E112" s="1063"/>
      <c r="F112" s="1063"/>
      <c r="G112" s="1063"/>
      <c r="H112" s="1063"/>
      <c r="I112" s="1063"/>
      <c r="J112" s="1063"/>
      <c r="K112" s="1063"/>
    </row>
    <row r="113" spans="2:11" ht="12.75">
      <c r="B113" s="1063"/>
      <c r="C113" s="1063"/>
      <c r="D113" s="1063"/>
      <c r="E113" s="1063"/>
      <c r="F113" s="1063"/>
      <c r="G113" s="1063"/>
      <c r="H113" s="1063"/>
      <c r="I113" s="1063"/>
      <c r="J113" s="1063"/>
      <c r="K113" s="1063"/>
    </row>
    <row r="114" spans="2:11" ht="12.75">
      <c r="B114" s="1063"/>
      <c r="C114" s="1063"/>
      <c r="D114" s="1063"/>
      <c r="E114" s="1063"/>
      <c r="F114" s="1063"/>
      <c r="G114" s="1063"/>
      <c r="H114" s="1063"/>
      <c r="I114" s="1063"/>
      <c r="J114" s="1063"/>
      <c r="K114" s="1063"/>
    </row>
    <row r="115" spans="2:11" ht="12.75"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</row>
    <row r="116" spans="2:11" ht="12.75"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</row>
    <row r="117" spans="2:11" ht="12.75"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</row>
    <row r="118" spans="2:11" ht="12.75"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</row>
    <row r="119" spans="2:11" ht="12.75"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</row>
    <row r="120" spans="2:11" ht="12.75"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</row>
    <row r="121" spans="2:11" ht="12.75"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</row>
    <row r="122" spans="2:11" ht="12.75"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</row>
    <row r="123" spans="2:11" ht="12.75"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</row>
    <row r="124" spans="2:11" ht="12.75"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</row>
    <row r="125" spans="2:11" ht="12.75"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</row>
    <row r="126" spans="2:11" ht="12.75"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</row>
    <row r="127" spans="2:11" ht="12.75"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</row>
    <row r="128" spans="2:11" ht="12.75"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</row>
    <row r="129" spans="2:11" ht="12.75"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</row>
    <row r="130" spans="2:11" ht="12.75"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</row>
    <row r="131" spans="2:11" ht="12.75"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</row>
    <row r="132" spans="2:11" ht="12.75"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</row>
  </sheetData>
  <mergeCells count="55">
    <mergeCell ref="B96:B97"/>
    <mergeCell ref="B101:B102"/>
    <mergeCell ref="B106:B107"/>
    <mergeCell ref="D89:D91"/>
    <mergeCell ref="E89:G89"/>
    <mergeCell ref="H89:K90"/>
    <mergeCell ref="E90:E91"/>
    <mergeCell ref="F90:F91"/>
    <mergeCell ref="G90:G91"/>
    <mergeCell ref="B86:B87"/>
    <mergeCell ref="A89:A91"/>
    <mergeCell ref="B89:B91"/>
    <mergeCell ref="C89:C91"/>
    <mergeCell ref="B66:B67"/>
    <mergeCell ref="B71:B72"/>
    <mergeCell ref="B76:B77"/>
    <mergeCell ref="B81:B82"/>
    <mergeCell ref="D59:D61"/>
    <mergeCell ref="E59:G59"/>
    <mergeCell ref="H59:K60"/>
    <mergeCell ref="E60:E61"/>
    <mergeCell ref="F60:F61"/>
    <mergeCell ref="G60:G61"/>
    <mergeCell ref="B56:B57"/>
    <mergeCell ref="A59:A61"/>
    <mergeCell ref="B59:B61"/>
    <mergeCell ref="C59:C61"/>
    <mergeCell ref="B36:B37"/>
    <mergeCell ref="B41:B42"/>
    <mergeCell ref="B46:B47"/>
    <mergeCell ref="B51:B52"/>
    <mergeCell ref="A29:A31"/>
    <mergeCell ref="B29:B31"/>
    <mergeCell ref="C29:C31"/>
    <mergeCell ref="D29:D31"/>
    <mergeCell ref="B112:K114"/>
    <mergeCell ref="B11:B12"/>
    <mergeCell ref="B16:B17"/>
    <mergeCell ref="B21:B22"/>
    <mergeCell ref="B26:B27"/>
    <mergeCell ref="E29:G29"/>
    <mergeCell ref="H29:K30"/>
    <mergeCell ref="E30:E31"/>
    <mergeCell ref="F30:F31"/>
    <mergeCell ref="G30:G31"/>
    <mergeCell ref="G4:G5"/>
    <mergeCell ref="H3:K4"/>
    <mergeCell ref="A1:K1"/>
    <mergeCell ref="A3:A5"/>
    <mergeCell ref="B3:B5"/>
    <mergeCell ref="C3:C5"/>
    <mergeCell ref="D3:D5"/>
    <mergeCell ref="E4:E5"/>
    <mergeCell ref="F4:F5"/>
    <mergeCell ref="E3:G3"/>
  </mergeCells>
  <printOptions horizontalCentered="1"/>
  <pageMargins left="0.2" right="0.17" top="1.1" bottom="0.4724409448818898" header="0.3937007874015748" footer="0.25"/>
  <pageSetup horizontalDpi="600" verticalDpi="600" orientation="landscape" paperSize="9" scale="84" r:id="rId1"/>
  <headerFooter alignWithMargins="0">
    <oddHeader>&amp;R&amp;"Arial CE,Pogrubiony"Załącznik Nr &amp;A&amp;"Arial CE,Standardowy"
&amp;9do Uchwały Rady Gminy w Miłkowicach Nr XXI/102/2008
z dnia 12 lutego 2008 roku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selection activeCell="H26" sqref="H24:I26"/>
    </sheetView>
  </sheetViews>
  <sheetFormatPr defaultColWidth="9.00390625" defaultRowHeight="12.75"/>
  <cols>
    <col min="1" max="1" width="4.75390625" style="1" bestFit="1" customWidth="1"/>
    <col min="2" max="2" width="25.375" style="1" customWidth="1"/>
    <col min="3" max="3" width="12.00390625" style="1" customWidth="1"/>
    <col min="4" max="4" width="3.875" style="1" customWidth="1"/>
    <col min="5" max="5" width="14.375" style="1" customWidth="1"/>
    <col min="6" max="6" width="14.00390625" style="1" customWidth="1"/>
    <col min="7" max="7" width="14.375" style="1" customWidth="1"/>
    <col min="8" max="8" width="12.00390625" style="1" customWidth="1"/>
    <col min="9" max="16384" width="9.125" style="1" customWidth="1"/>
  </cols>
  <sheetData>
    <row r="1" spans="1:7" ht="20.25" customHeight="1">
      <c r="A1" s="1099" t="s">
        <v>642</v>
      </c>
      <c r="B1" s="1099"/>
      <c r="C1" s="1099"/>
      <c r="D1" s="1099"/>
      <c r="E1" s="1099"/>
      <c r="F1" s="1099"/>
      <c r="G1" s="1099"/>
    </row>
    <row r="2" spans="2:7" ht="27" customHeight="1">
      <c r="B2" s="1104" t="s">
        <v>643</v>
      </c>
      <c r="C2" s="1104"/>
      <c r="D2" s="1104"/>
      <c r="E2" s="1104"/>
      <c r="F2" s="1104"/>
      <c r="G2" s="446"/>
    </row>
    <row r="3" spans="1:7" ht="18" customHeight="1">
      <c r="A3" s="435"/>
      <c r="B3" s="435"/>
      <c r="C3" s="435"/>
      <c r="D3" s="435"/>
      <c r="E3" s="435"/>
      <c r="F3" s="435"/>
      <c r="G3" s="435"/>
    </row>
    <row r="4" spans="1:7" ht="18" customHeight="1">
      <c r="A4" s="1079" t="s">
        <v>644</v>
      </c>
      <c r="B4" s="1079"/>
      <c r="C4" s="436"/>
      <c r="D4" s="436"/>
      <c r="E4" s="436"/>
      <c r="F4" s="680">
        <f>1!G161</f>
        <v>24328339</v>
      </c>
      <c r="G4" s="681" t="s">
        <v>703</v>
      </c>
    </row>
    <row r="5" spans="1:7" ht="18" customHeight="1">
      <c r="A5" s="1079" t="s">
        <v>645</v>
      </c>
      <c r="B5" s="1079"/>
      <c r="C5" s="436"/>
      <c r="D5" s="436"/>
      <c r="E5" s="436"/>
      <c r="F5" s="680">
        <f>2!F109</f>
        <v>25612560</v>
      </c>
      <c r="G5" s="681" t="s">
        <v>703</v>
      </c>
    </row>
    <row r="6" spans="1:7" ht="18" customHeight="1">
      <c r="A6" s="1079" t="s">
        <v>646</v>
      </c>
      <c r="B6" s="1079"/>
      <c r="C6" s="1079"/>
      <c r="D6" s="436"/>
      <c r="E6" s="436"/>
      <c r="F6" s="680">
        <f>F4-F5</f>
        <v>-1284221</v>
      </c>
      <c r="G6" s="681" t="s">
        <v>703</v>
      </c>
    </row>
    <row r="7" ht="14.25" customHeight="1">
      <c r="A7" s="17"/>
    </row>
    <row r="8" spans="1:7" ht="14.25" customHeight="1">
      <c r="A8" s="1098" t="s">
        <v>647</v>
      </c>
      <c r="B8" s="1098"/>
      <c r="C8" s="1098"/>
      <c r="D8" s="1098"/>
      <c r="E8" s="1098"/>
      <c r="F8" s="1098"/>
      <c r="G8" s="1098"/>
    </row>
    <row r="9" ht="8.25" customHeight="1">
      <c r="G9" s="10"/>
    </row>
    <row r="10" spans="1:7" ht="9.75" customHeight="1">
      <c r="A10" s="1100" t="s">
        <v>110</v>
      </c>
      <c r="B10" s="1089" t="s">
        <v>60</v>
      </c>
      <c r="C10" s="1090"/>
      <c r="D10" s="1090"/>
      <c r="E10" s="1091"/>
      <c r="F10" s="1101" t="s">
        <v>59</v>
      </c>
      <c r="G10" s="1101" t="s">
        <v>648</v>
      </c>
    </row>
    <row r="11" spans="1:7" ht="9.75" customHeight="1">
      <c r="A11" s="1100"/>
      <c r="B11" s="1092"/>
      <c r="C11" s="1093"/>
      <c r="D11" s="1093"/>
      <c r="E11" s="1094"/>
      <c r="F11" s="1102"/>
      <c r="G11" s="1102"/>
    </row>
    <row r="12" spans="1:7" ht="9.75" customHeight="1">
      <c r="A12" s="1100"/>
      <c r="B12" s="1095"/>
      <c r="C12" s="1096"/>
      <c r="D12" s="1096"/>
      <c r="E12" s="1097"/>
      <c r="F12" s="1103"/>
      <c r="G12" s="1103"/>
    </row>
    <row r="13" spans="1:7" s="55" customFormat="1" ht="6.75" customHeight="1">
      <c r="A13" s="54">
        <v>1</v>
      </c>
      <c r="B13" s="1073">
        <v>2</v>
      </c>
      <c r="C13" s="1074"/>
      <c r="D13" s="1074"/>
      <c r="E13" s="1075"/>
      <c r="F13" s="54">
        <v>3</v>
      </c>
      <c r="G13" s="54">
        <v>4</v>
      </c>
    </row>
    <row r="14" spans="1:7" ht="18.75" customHeight="1">
      <c r="A14" s="1083" t="s">
        <v>79</v>
      </c>
      <c r="B14" s="1084"/>
      <c r="C14" s="1084"/>
      <c r="D14" s="1084"/>
      <c r="E14" s="1085"/>
      <c r="F14" s="24"/>
      <c r="G14" s="108">
        <f>SUM(G15:G22)</f>
        <v>9948961</v>
      </c>
    </row>
    <row r="15" spans="1:7" ht="18.75" customHeight="1">
      <c r="A15" s="25" t="s">
        <v>67</v>
      </c>
      <c r="B15" s="1076" t="s">
        <v>74</v>
      </c>
      <c r="C15" s="1077"/>
      <c r="D15" s="1077"/>
      <c r="E15" s="1078"/>
      <c r="F15" s="25" t="s">
        <v>80</v>
      </c>
      <c r="G15" s="105">
        <f>340000+225000+120000+340000+75000+375000-575000+400000</f>
        <v>1300000</v>
      </c>
    </row>
    <row r="16" spans="1:8" ht="18.75" customHeight="1">
      <c r="A16" s="26" t="s">
        <v>68</v>
      </c>
      <c r="B16" s="1067" t="s">
        <v>75</v>
      </c>
      <c r="C16" s="1068"/>
      <c r="D16" s="1068"/>
      <c r="E16" s="1069"/>
      <c r="F16" s="26" t="s">
        <v>80</v>
      </c>
      <c r="G16" s="106">
        <f>275000+150000+127500+75000</f>
        <v>627500</v>
      </c>
      <c r="H16" s="83">
        <f>G15+G16</f>
        <v>1927500</v>
      </c>
    </row>
    <row r="17" spans="1:8" ht="27" customHeight="1">
      <c r="A17" s="26" t="s">
        <v>69</v>
      </c>
      <c r="B17" s="1070" t="s">
        <v>136</v>
      </c>
      <c r="C17" s="1071"/>
      <c r="D17" s="1071"/>
      <c r="E17" s="1072"/>
      <c r="F17" s="26" t="s">
        <v>102</v>
      </c>
      <c r="G17" s="106">
        <f>575000+7395000</f>
        <v>7970000</v>
      </c>
      <c r="H17" s="83"/>
    </row>
    <row r="18" spans="1:7" ht="18.75" customHeight="1">
      <c r="A18" s="26" t="s">
        <v>56</v>
      </c>
      <c r="B18" s="1067" t="s">
        <v>82</v>
      </c>
      <c r="C18" s="1068"/>
      <c r="D18" s="1068"/>
      <c r="E18" s="1069"/>
      <c r="F18" s="26" t="s">
        <v>103</v>
      </c>
      <c r="G18" s="106"/>
    </row>
    <row r="19" spans="1:7" ht="18.75" customHeight="1">
      <c r="A19" s="26" t="s">
        <v>73</v>
      </c>
      <c r="B19" s="1067" t="s">
        <v>137</v>
      </c>
      <c r="C19" s="1068"/>
      <c r="D19" s="1068"/>
      <c r="E19" s="1069"/>
      <c r="F19" s="26" t="s">
        <v>147</v>
      </c>
      <c r="G19" s="106"/>
    </row>
    <row r="20" spans="1:7" ht="18.75" customHeight="1">
      <c r="A20" s="26" t="s">
        <v>76</v>
      </c>
      <c r="B20" s="1067" t="s">
        <v>77</v>
      </c>
      <c r="C20" s="1068"/>
      <c r="D20" s="1068"/>
      <c r="E20" s="1069"/>
      <c r="F20" s="26" t="s">
        <v>81</v>
      </c>
      <c r="G20" s="106"/>
    </row>
    <row r="21" spans="1:7" ht="18.75" customHeight="1">
      <c r="A21" s="26" t="s">
        <v>78</v>
      </c>
      <c r="B21" s="1067" t="s">
        <v>151</v>
      </c>
      <c r="C21" s="1068"/>
      <c r="D21" s="1068"/>
      <c r="E21" s="1069"/>
      <c r="F21" s="26" t="s">
        <v>113</v>
      </c>
      <c r="G21" s="106"/>
    </row>
    <row r="22" spans="1:7" ht="18.75" customHeight="1">
      <c r="A22" s="26" t="s">
        <v>84</v>
      </c>
      <c r="B22" s="1080" t="s">
        <v>101</v>
      </c>
      <c r="C22" s="1081"/>
      <c r="D22" s="1081"/>
      <c r="E22" s="1082"/>
      <c r="F22" s="28" t="s">
        <v>83</v>
      </c>
      <c r="G22" s="107">
        <v>51461</v>
      </c>
    </row>
    <row r="23" spans="1:7" ht="18.75" customHeight="1">
      <c r="A23" s="1083" t="s">
        <v>138</v>
      </c>
      <c r="B23" s="1084"/>
      <c r="C23" s="1084"/>
      <c r="D23" s="1084"/>
      <c r="E23" s="1085"/>
      <c r="F23" s="24"/>
      <c r="G23" s="108">
        <f>SUM(G24:G30)</f>
        <v>8664740</v>
      </c>
    </row>
    <row r="24" spans="1:7" ht="18.75" customHeight="1">
      <c r="A24" s="25" t="s">
        <v>67</v>
      </c>
      <c r="B24" s="1076" t="s">
        <v>104</v>
      </c>
      <c r="C24" s="1077"/>
      <c r="D24" s="1077"/>
      <c r="E24" s="1078"/>
      <c r="F24" s="25" t="s">
        <v>86</v>
      </c>
      <c r="G24" s="105">
        <f>150000+133200+90000+60000</f>
        <v>433200</v>
      </c>
    </row>
    <row r="25" spans="1:8" ht="18.75" customHeight="1">
      <c r="A25" s="26" t="s">
        <v>68</v>
      </c>
      <c r="B25" s="1067" t="s">
        <v>85</v>
      </c>
      <c r="C25" s="1068"/>
      <c r="D25" s="1068"/>
      <c r="E25" s="1069"/>
      <c r="F25" s="26" t="s">
        <v>86</v>
      </c>
      <c r="G25" s="106">
        <f>145220+24200+32120+60000</f>
        <v>261540</v>
      </c>
      <c r="H25" s="83"/>
    </row>
    <row r="26" spans="1:8" ht="29.25" customHeight="1">
      <c r="A26" s="26" t="s">
        <v>69</v>
      </c>
      <c r="B26" s="1086" t="s">
        <v>107</v>
      </c>
      <c r="C26" s="1087"/>
      <c r="D26" s="1087"/>
      <c r="E26" s="1088"/>
      <c r="F26" s="26" t="s">
        <v>108</v>
      </c>
      <c r="G26" s="106">
        <f>G17</f>
        <v>7970000</v>
      </c>
      <c r="H26" s="83"/>
    </row>
    <row r="27" spans="1:7" ht="18.75" customHeight="1">
      <c r="A27" s="26" t="s">
        <v>56</v>
      </c>
      <c r="B27" s="1067" t="s">
        <v>105</v>
      </c>
      <c r="C27" s="1068"/>
      <c r="D27" s="1068"/>
      <c r="E27" s="1069"/>
      <c r="F27" s="26" t="s">
        <v>99</v>
      </c>
      <c r="G27" s="106"/>
    </row>
    <row r="28" spans="1:7" ht="18.75" customHeight="1">
      <c r="A28" s="26" t="s">
        <v>73</v>
      </c>
      <c r="B28" s="1067" t="s">
        <v>106</v>
      </c>
      <c r="C28" s="1068"/>
      <c r="D28" s="1068"/>
      <c r="E28" s="1069"/>
      <c r="F28" s="26" t="s">
        <v>88</v>
      </c>
      <c r="G28" s="106"/>
    </row>
    <row r="29" spans="1:7" ht="18.75" customHeight="1">
      <c r="A29" s="26" t="s">
        <v>76</v>
      </c>
      <c r="B29" s="437" t="s">
        <v>152</v>
      </c>
      <c r="C29" s="444"/>
      <c r="D29" s="444"/>
      <c r="E29" s="438"/>
      <c r="F29" s="26" t="s">
        <v>89</v>
      </c>
      <c r="G29" s="106"/>
    </row>
    <row r="30" spans="1:7" ht="18.75" customHeight="1">
      <c r="A30" s="28" t="s">
        <v>78</v>
      </c>
      <c r="B30" s="1080" t="s">
        <v>90</v>
      </c>
      <c r="C30" s="1081"/>
      <c r="D30" s="1081"/>
      <c r="E30" s="1082"/>
      <c r="F30" s="28" t="s">
        <v>87</v>
      </c>
      <c r="G30" s="107"/>
    </row>
    <row r="31" spans="1:7" ht="7.5" customHeight="1">
      <c r="A31" s="4"/>
      <c r="B31" s="5"/>
      <c r="C31" s="5"/>
      <c r="D31" s="5"/>
      <c r="E31" s="5"/>
      <c r="F31" s="5"/>
      <c r="G31" s="5"/>
    </row>
    <row r="32" spans="1:9" ht="12.75">
      <c r="A32" s="39"/>
      <c r="B32" s="38"/>
      <c r="C32" s="38"/>
      <c r="D32" s="38"/>
      <c r="E32" s="38"/>
      <c r="F32" s="38"/>
      <c r="G32" s="38"/>
      <c r="H32" s="37"/>
      <c r="I32" s="37"/>
    </row>
    <row r="33" spans="1:8" ht="18" customHeight="1">
      <c r="A33" s="1" t="s">
        <v>649</v>
      </c>
      <c r="B33" s="43"/>
      <c r="C33" s="441">
        <f>1!G161</f>
        <v>24328339</v>
      </c>
      <c r="D33" s="441"/>
      <c r="E33" s="1" t="s">
        <v>653</v>
      </c>
      <c r="G33" s="83">
        <f>2!F109</f>
        <v>25612560</v>
      </c>
      <c r="H33" s="83">
        <f>C33-G33</f>
        <v>-1284221</v>
      </c>
    </row>
    <row r="34" spans="1:7" ht="18" customHeight="1">
      <c r="A34" s="439" t="s">
        <v>650</v>
      </c>
      <c r="B34" s="439"/>
      <c r="C34" s="442">
        <f>G14</f>
        <v>9948961</v>
      </c>
      <c r="D34" s="445"/>
      <c r="E34" s="439" t="s">
        <v>652</v>
      </c>
      <c r="F34" s="439"/>
      <c r="G34" s="440">
        <f>G23</f>
        <v>8664740</v>
      </c>
    </row>
    <row r="35" spans="1:8" ht="18" customHeight="1">
      <c r="A35" s="1" t="s">
        <v>651</v>
      </c>
      <c r="C35" s="443">
        <f>C33+C34</f>
        <v>34277300</v>
      </c>
      <c r="D35" s="443"/>
      <c r="E35" s="1" t="s">
        <v>651</v>
      </c>
      <c r="G35" s="83">
        <f>G33+G34</f>
        <v>34277300</v>
      </c>
      <c r="H35" s="83">
        <f>C35-G35</f>
        <v>0</v>
      </c>
    </row>
  </sheetData>
  <mergeCells count="27">
    <mergeCell ref="A8:G8"/>
    <mergeCell ref="B22:E22"/>
    <mergeCell ref="B19:E19"/>
    <mergeCell ref="A1:G1"/>
    <mergeCell ref="A10:A12"/>
    <mergeCell ref="F10:F12"/>
    <mergeCell ref="G10:G12"/>
    <mergeCell ref="A4:B4"/>
    <mergeCell ref="A5:B5"/>
    <mergeCell ref="B2:F2"/>
    <mergeCell ref="A6:C6"/>
    <mergeCell ref="B30:E30"/>
    <mergeCell ref="A23:E23"/>
    <mergeCell ref="B24:E24"/>
    <mergeCell ref="B25:E25"/>
    <mergeCell ref="B26:E26"/>
    <mergeCell ref="B27:E27"/>
    <mergeCell ref="B28:E28"/>
    <mergeCell ref="A14:E14"/>
    <mergeCell ref="B10:E12"/>
    <mergeCell ref="B21:E21"/>
    <mergeCell ref="B17:E17"/>
    <mergeCell ref="B16:E16"/>
    <mergeCell ref="B13:E13"/>
    <mergeCell ref="B18:E18"/>
    <mergeCell ref="B15:E15"/>
    <mergeCell ref="B20:E20"/>
  </mergeCells>
  <printOptions horizontalCentered="1"/>
  <pageMargins left="0.3937007874015748" right="0.3937007874015748" top="1.24" bottom="0.5905511811023623" header="0.5" footer="0.5118110236220472"/>
  <pageSetup horizontalDpi="600" verticalDpi="600" orientation="portrait" paperSize="9" r:id="rId1"/>
  <headerFooter alignWithMargins="0">
    <oddHeader>&amp;R&amp;"Arial CE,Pogrubiony"Załącznik nr &amp;A&amp;"Arial CE,Standardowy"
do Uchwały Rady Gminy w Miłkowicach Nr XXI/102/2008
z dnia 12 lutego 2008 roku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2">
    <pageSetUpPr fitToPage="1"/>
  </sheetPr>
  <dimension ref="A1:L33"/>
  <sheetViews>
    <sheetView showGridLines="0" workbookViewId="0" topLeftCell="A13">
      <selection activeCell="D14" sqref="D14"/>
    </sheetView>
  </sheetViews>
  <sheetFormatPr defaultColWidth="9.00390625" defaultRowHeight="12.75"/>
  <cols>
    <col min="1" max="1" width="6.25390625" style="0" customWidth="1"/>
    <col min="2" max="2" width="68.00390625" style="0" customWidth="1"/>
    <col min="3" max="3" width="14.75390625" style="0" customWidth="1"/>
    <col min="4" max="11" width="10.125" style="0" customWidth="1"/>
  </cols>
  <sheetData>
    <row r="1" ht="7.5" customHeight="1">
      <c r="G1" s="53"/>
    </row>
    <row r="2" spans="1:11" ht="18">
      <c r="A2" s="882" t="s">
        <v>484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</row>
    <row r="3" spans="8:11" ht="9.75" customHeight="1">
      <c r="H3" s="52"/>
      <c r="K3" s="222" t="s">
        <v>95</v>
      </c>
    </row>
    <row r="4" spans="1:11" s="44" customFormat="1" ht="13.5" thickBot="1">
      <c r="A4" s="885" t="s">
        <v>110</v>
      </c>
      <c r="B4" s="885" t="s">
        <v>55</v>
      </c>
      <c r="C4" s="1105" t="s">
        <v>482</v>
      </c>
      <c r="D4" s="1107"/>
      <c r="E4" s="1108"/>
      <c r="F4" s="1108"/>
      <c r="G4" s="1108"/>
      <c r="H4" s="1108"/>
      <c r="I4" s="1108"/>
      <c r="J4" s="1108"/>
      <c r="K4" s="1108"/>
    </row>
    <row r="5" spans="1:11" s="44" customFormat="1" ht="23.25" customHeight="1">
      <c r="A5" s="885"/>
      <c r="B5" s="885"/>
      <c r="C5" s="1106"/>
      <c r="D5" s="318">
        <v>2008</v>
      </c>
      <c r="E5" s="312">
        <v>2009</v>
      </c>
      <c r="F5" s="49">
        <v>2010</v>
      </c>
      <c r="G5" s="49">
        <v>2011</v>
      </c>
      <c r="H5" s="49">
        <v>2012</v>
      </c>
      <c r="I5" s="49">
        <v>2013</v>
      </c>
      <c r="J5" s="49">
        <v>2014</v>
      </c>
      <c r="K5" s="49">
        <v>2015</v>
      </c>
    </row>
    <row r="6" spans="1:11" s="48" customFormat="1" ht="8.25">
      <c r="A6" s="47">
        <v>1</v>
      </c>
      <c r="B6" s="47">
        <v>2</v>
      </c>
      <c r="C6" s="307">
        <v>3</v>
      </c>
      <c r="D6" s="319">
        <v>5</v>
      </c>
      <c r="E6" s="313">
        <v>6</v>
      </c>
      <c r="F6" s="47">
        <v>7</v>
      </c>
      <c r="G6" s="47">
        <v>8</v>
      </c>
      <c r="H6" s="47">
        <v>9</v>
      </c>
      <c r="I6" s="47">
        <v>7</v>
      </c>
      <c r="J6" s="47">
        <v>8</v>
      </c>
      <c r="K6" s="47">
        <v>9</v>
      </c>
    </row>
    <row r="7" spans="1:11" s="44" customFormat="1" ht="22.5" customHeight="1">
      <c r="A7" s="42" t="s">
        <v>67</v>
      </c>
      <c r="B7" s="51" t="s">
        <v>479</v>
      </c>
      <c r="C7" s="308">
        <f aca="true" t="shared" si="0" ref="C7:K7">C8+C12-C17</f>
        <v>2835140</v>
      </c>
      <c r="D7" s="320">
        <f t="shared" si="0"/>
        <v>4067900</v>
      </c>
      <c r="E7" s="314">
        <f t="shared" si="0"/>
        <v>3219740</v>
      </c>
      <c r="F7" s="141">
        <f t="shared" si="0"/>
        <v>2355700</v>
      </c>
      <c r="G7" s="141">
        <f t="shared" si="0"/>
        <v>1774860</v>
      </c>
      <c r="H7" s="141">
        <f t="shared" si="0"/>
        <v>1238520</v>
      </c>
      <c r="I7" s="141">
        <f t="shared" si="0"/>
        <v>825680</v>
      </c>
      <c r="J7" s="141">
        <f t="shared" si="0"/>
        <v>412840</v>
      </c>
      <c r="K7" s="141">
        <f t="shared" si="0"/>
        <v>0</v>
      </c>
    </row>
    <row r="8" spans="1:11" s="37" customFormat="1" ht="15.75" customHeight="1">
      <c r="A8" s="42" t="s">
        <v>119</v>
      </c>
      <c r="B8" s="226" t="s">
        <v>474</v>
      </c>
      <c r="C8" s="308">
        <f>SUM(C9:C11)</f>
        <v>2835140</v>
      </c>
      <c r="D8" s="320">
        <f>C7-C16</f>
        <v>2835140</v>
      </c>
      <c r="E8" s="314">
        <f aca="true" t="shared" si="1" ref="E8:K8">D7</f>
        <v>4067900</v>
      </c>
      <c r="F8" s="141">
        <f t="shared" si="1"/>
        <v>3219740</v>
      </c>
      <c r="G8" s="141">
        <f t="shared" si="1"/>
        <v>2355700</v>
      </c>
      <c r="H8" s="141">
        <f t="shared" si="1"/>
        <v>1774860</v>
      </c>
      <c r="I8" s="141">
        <f t="shared" si="1"/>
        <v>1238520</v>
      </c>
      <c r="J8" s="141">
        <f t="shared" si="1"/>
        <v>825680</v>
      </c>
      <c r="K8" s="141">
        <f t="shared" si="1"/>
        <v>412840</v>
      </c>
    </row>
    <row r="9" spans="1:11" s="37" customFormat="1" ht="15" customHeight="1">
      <c r="A9" s="227" t="s">
        <v>156</v>
      </c>
      <c r="B9" s="228" t="s">
        <v>126</v>
      </c>
      <c r="C9" s="308">
        <v>1895540</v>
      </c>
      <c r="D9" s="320">
        <f>C9+D13-D18</f>
        <v>2261500</v>
      </c>
      <c r="E9" s="314">
        <f>D9+E13-E18</f>
        <v>1832540</v>
      </c>
      <c r="F9" s="141">
        <f aca="true" t="shared" si="2" ref="F9:K9">E9+F13-F18</f>
        <v>1435700</v>
      </c>
      <c r="G9" s="141">
        <f t="shared" si="2"/>
        <v>1038860</v>
      </c>
      <c r="H9" s="141">
        <f t="shared" si="2"/>
        <v>686520</v>
      </c>
      <c r="I9" s="141">
        <f t="shared" si="2"/>
        <v>457680</v>
      </c>
      <c r="J9" s="141">
        <f t="shared" si="2"/>
        <v>228840</v>
      </c>
      <c r="K9" s="141">
        <f t="shared" si="2"/>
        <v>0</v>
      </c>
    </row>
    <row r="10" spans="1:11" s="37" customFormat="1" ht="15" customHeight="1">
      <c r="A10" s="227" t="s">
        <v>157</v>
      </c>
      <c r="B10" s="228" t="s">
        <v>127</v>
      </c>
      <c r="C10" s="308">
        <v>939600</v>
      </c>
      <c r="D10" s="320">
        <f>C10+D14-D19</f>
        <v>1806400</v>
      </c>
      <c r="E10" s="314">
        <f>D10+E14-E19</f>
        <v>1387200</v>
      </c>
      <c r="F10" s="141">
        <f aca="true" t="shared" si="3" ref="F10:K10">E10+F14-F19</f>
        <v>920000</v>
      </c>
      <c r="G10" s="141">
        <f t="shared" si="3"/>
        <v>736000</v>
      </c>
      <c r="H10" s="141">
        <f t="shared" si="3"/>
        <v>552000</v>
      </c>
      <c r="I10" s="141">
        <f t="shared" si="3"/>
        <v>368000</v>
      </c>
      <c r="J10" s="141">
        <f t="shared" si="3"/>
        <v>184000</v>
      </c>
      <c r="K10" s="141">
        <f t="shared" si="3"/>
        <v>0</v>
      </c>
    </row>
    <row r="11" spans="1:11" s="37" customFormat="1" ht="38.25">
      <c r="A11" s="227" t="s">
        <v>158</v>
      </c>
      <c r="B11" s="228" t="s">
        <v>483</v>
      </c>
      <c r="C11" s="229"/>
      <c r="D11" s="320"/>
      <c r="E11" s="314"/>
      <c r="F11" s="141"/>
      <c r="G11" s="141"/>
      <c r="H11" s="141"/>
      <c r="I11" s="141"/>
      <c r="J11" s="141"/>
      <c r="K11" s="141"/>
    </row>
    <row r="12" spans="1:11" s="37" customFormat="1" ht="15" customHeight="1">
      <c r="A12" s="42" t="s">
        <v>120</v>
      </c>
      <c r="B12" s="226" t="s">
        <v>475</v>
      </c>
      <c r="C12" s="308">
        <f>SUM(C13:C15)</f>
        <v>0</v>
      </c>
      <c r="D12" s="320">
        <f aca="true" t="shared" si="4" ref="D12:K12">SUM(D13:D15)</f>
        <v>9897500</v>
      </c>
      <c r="E12" s="314">
        <f t="shared" si="4"/>
        <v>0</v>
      </c>
      <c r="F12" s="141">
        <f t="shared" si="4"/>
        <v>0</v>
      </c>
      <c r="G12" s="141">
        <f t="shared" si="4"/>
        <v>0</v>
      </c>
      <c r="H12" s="141">
        <f t="shared" si="4"/>
        <v>0</v>
      </c>
      <c r="I12" s="141">
        <f t="shared" si="4"/>
        <v>0</v>
      </c>
      <c r="J12" s="141">
        <f t="shared" si="4"/>
        <v>0</v>
      </c>
      <c r="K12" s="141">
        <f t="shared" si="4"/>
        <v>0</v>
      </c>
    </row>
    <row r="13" spans="1:11" s="37" customFormat="1" ht="15" customHeight="1">
      <c r="A13" s="227" t="s">
        <v>159</v>
      </c>
      <c r="B13" s="228" t="s">
        <v>126</v>
      </c>
      <c r="C13" s="308"/>
      <c r="D13" s="320">
        <f>6!G16</f>
        <v>627500</v>
      </c>
      <c r="E13" s="314"/>
      <c r="F13" s="141"/>
      <c r="G13" s="141"/>
      <c r="H13" s="141"/>
      <c r="I13" s="141"/>
      <c r="J13" s="141"/>
      <c r="K13" s="141"/>
    </row>
    <row r="14" spans="1:11" s="37" customFormat="1" ht="15" customHeight="1">
      <c r="A14" s="227" t="s">
        <v>160</v>
      </c>
      <c r="B14" s="228" t="s">
        <v>127</v>
      </c>
      <c r="C14" s="308"/>
      <c r="D14" s="320">
        <f>6!G15</f>
        <v>1300000</v>
      </c>
      <c r="E14" s="314"/>
      <c r="F14" s="141"/>
      <c r="G14" s="141"/>
      <c r="H14" s="141"/>
      <c r="I14" s="141"/>
      <c r="J14" s="141"/>
      <c r="K14" s="141"/>
    </row>
    <row r="15" spans="1:11" s="37" customFormat="1" ht="38.25">
      <c r="A15" s="227" t="s">
        <v>161</v>
      </c>
      <c r="B15" s="228" t="s">
        <v>483</v>
      </c>
      <c r="C15" s="308"/>
      <c r="D15" s="320">
        <f>6!G17</f>
        <v>7970000</v>
      </c>
      <c r="E15" s="314"/>
      <c r="F15" s="141"/>
      <c r="G15" s="141"/>
      <c r="H15" s="141"/>
      <c r="I15" s="141"/>
      <c r="J15" s="141"/>
      <c r="K15" s="141"/>
    </row>
    <row r="16" spans="1:11" s="44" customFormat="1" ht="22.5" customHeight="1">
      <c r="A16" s="42" t="s">
        <v>68</v>
      </c>
      <c r="B16" s="51" t="s">
        <v>476</v>
      </c>
      <c r="C16" s="309">
        <f aca="true" t="shared" si="5" ref="C16:K16">C17+C23</f>
        <v>0</v>
      </c>
      <c r="D16" s="321">
        <f t="shared" si="5"/>
        <v>8849740</v>
      </c>
      <c r="E16" s="315">
        <f t="shared" si="5"/>
        <v>1020331</v>
      </c>
      <c r="F16" s="142">
        <f t="shared" si="5"/>
        <v>995435</v>
      </c>
      <c r="G16" s="142">
        <f t="shared" si="5"/>
        <v>676941</v>
      </c>
      <c r="H16" s="142">
        <f t="shared" si="5"/>
        <v>607516</v>
      </c>
      <c r="I16" s="142">
        <f t="shared" si="5"/>
        <v>462845</v>
      </c>
      <c r="J16" s="142">
        <f t="shared" si="5"/>
        <v>443795</v>
      </c>
      <c r="K16" s="142">
        <f t="shared" si="5"/>
        <v>423826</v>
      </c>
    </row>
    <row r="17" spans="1:11" s="44" customFormat="1" ht="15" customHeight="1">
      <c r="A17" s="42" t="s">
        <v>121</v>
      </c>
      <c r="B17" s="51" t="s">
        <v>477</v>
      </c>
      <c r="C17" s="310">
        <f aca="true" t="shared" si="6" ref="C17:K17">SUM(C18:C22)</f>
        <v>0</v>
      </c>
      <c r="D17" s="322">
        <f t="shared" si="6"/>
        <v>8664740</v>
      </c>
      <c r="E17" s="316">
        <f t="shared" si="6"/>
        <v>848160</v>
      </c>
      <c r="F17" s="143">
        <f t="shared" si="6"/>
        <v>864040</v>
      </c>
      <c r="G17" s="143">
        <f t="shared" si="6"/>
        <v>580840</v>
      </c>
      <c r="H17" s="143">
        <f t="shared" si="6"/>
        <v>536340</v>
      </c>
      <c r="I17" s="143">
        <f t="shared" si="6"/>
        <v>412840</v>
      </c>
      <c r="J17" s="143">
        <f t="shared" si="6"/>
        <v>412840</v>
      </c>
      <c r="K17" s="143">
        <f t="shared" si="6"/>
        <v>412840</v>
      </c>
    </row>
    <row r="18" spans="1:11" s="37" customFormat="1" ht="15" customHeight="1">
      <c r="A18" s="227" t="s">
        <v>153</v>
      </c>
      <c r="B18" s="228" t="s">
        <v>468</v>
      </c>
      <c r="C18" s="308"/>
      <c r="D18" s="320">
        <f>6!G25</f>
        <v>261540</v>
      </c>
      <c r="E18" s="314">
        <f>32120+168000+180440+48400</f>
        <v>428960</v>
      </c>
      <c r="F18" s="141">
        <f>180440+48400+168000</f>
        <v>396840</v>
      </c>
      <c r="G18" s="141">
        <f>180440+48400+168000</f>
        <v>396840</v>
      </c>
      <c r="H18" s="141">
        <f>180440+48400+123500</f>
        <v>352340</v>
      </c>
      <c r="I18" s="141">
        <v>228840</v>
      </c>
      <c r="J18" s="141">
        <v>228840</v>
      </c>
      <c r="K18" s="141">
        <v>228840</v>
      </c>
    </row>
    <row r="19" spans="1:11" s="37" customFormat="1" ht="15" customHeight="1">
      <c r="A19" s="227" t="s">
        <v>154</v>
      </c>
      <c r="B19" s="228" t="s">
        <v>127</v>
      </c>
      <c r="C19" s="308"/>
      <c r="D19" s="320">
        <f>6!G24</f>
        <v>433200</v>
      </c>
      <c r="E19" s="314">
        <f>150000+133200+136000</f>
        <v>419200</v>
      </c>
      <c r="F19" s="141">
        <f>133200+150000+184000</f>
        <v>467200</v>
      </c>
      <c r="G19" s="141">
        <v>184000</v>
      </c>
      <c r="H19" s="141">
        <v>184000</v>
      </c>
      <c r="I19" s="141">
        <v>184000</v>
      </c>
      <c r="J19" s="141">
        <v>184000</v>
      </c>
      <c r="K19" s="141">
        <v>184000</v>
      </c>
    </row>
    <row r="20" spans="1:11" s="37" customFormat="1" ht="14.25" customHeight="1">
      <c r="A20" s="227" t="s">
        <v>155</v>
      </c>
      <c r="B20" s="228" t="s">
        <v>164</v>
      </c>
      <c r="C20" s="308"/>
      <c r="D20" s="320"/>
      <c r="E20" s="314"/>
      <c r="F20" s="141"/>
      <c r="G20" s="141"/>
      <c r="H20" s="141"/>
      <c r="I20" s="141"/>
      <c r="J20" s="141"/>
      <c r="K20" s="141"/>
    </row>
    <row r="21" spans="1:11" s="37" customFormat="1" ht="15" customHeight="1">
      <c r="A21" s="227" t="s">
        <v>467</v>
      </c>
      <c r="B21" s="228" t="s">
        <v>163</v>
      </c>
      <c r="C21" s="308"/>
      <c r="D21" s="320"/>
      <c r="E21" s="314"/>
      <c r="F21" s="141"/>
      <c r="G21" s="141"/>
      <c r="H21" s="141"/>
      <c r="I21" s="141"/>
      <c r="J21" s="141"/>
      <c r="K21" s="141"/>
    </row>
    <row r="22" spans="1:11" s="37" customFormat="1" ht="38.25">
      <c r="A22" s="227" t="s">
        <v>478</v>
      </c>
      <c r="B22" s="228" t="s">
        <v>483</v>
      </c>
      <c r="C22" s="308"/>
      <c r="D22" s="320">
        <f>6!G26</f>
        <v>7970000</v>
      </c>
      <c r="E22" s="314"/>
      <c r="F22" s="141"/>
      <c r="G22" s="141"/>
      <c r="H22" s="141"/>
      <c r="I22" s="141"/>
      <c r="J22" s="141"/>
      <c r="K22" s="141"/>
    </row>
    <row r="23" spans="1:12" s="230" customFormat="1" ht="14.25" customHeight="1">
      <c r="A23" s="42" t="s">
        <v>122</v>
      </c>
      <c r="B23" s="226" t="s">
        <v>162</v>
      </c>
      <c r="C23" s="308"/>
      <c r="D23" s="320">
        <v>185000</v>
      </c>
      <c r="E23" s="314">
        <v>172171</v>
      </c>
      <c r="F23" s="141">
        <v>131395</v>
      </c>
      <c r="G23" s="141">
        <v>96101</v>
      </c>
      <c r="H23" s="141">
        <v>71176</v>
      </c>
      <c r="I23" s="141">
        <v>50005</v>
      </c>
      <c r="J23" s="141">
        <v>30955</v>
      </c>
      <c r="K23" s="141">
        <v>10986</v>
      </c>
      <c r="L23" s="802"/>
    </row>
    <row r="24" spans="1:11" s="44" customFormat="1" ht="22.5" customHeight="1">
      <c r="A24" s="42" t="s">
        <v>69</v>
      </c>
      <c r="B24" s="51" t="s">
        <v>128</v>
      </c>
      <c r="C24" s="308"/>
      <c r="D24" s="320">
        <f>1!G161</f>
        <v>24328339</v>
      </c>
      <c r="E24" s="314">
        <f>1!L161+500000</f>
        <v>13403357</v>
      </c>
      <c r="F24" s="141">
        <f aca="true" t="shared" si="7" ref="F24:K25">E24*1.02</f>
        <v>13671424.14</v>
      </c>
      <c r="G24" s="141">
        <f t="shared" si="7"/>
        <v>13944852.6228</v>
      </c>
      <c r="H24" s="141">
        <f t="shared" si="7"/>
        <v>14223749.675256</v>
      </c>
      <c r="I24" s="141">
        <f t="shared" si="7"/>
        <v>14508224.668761121</v>
      </c>
      <c r="J24" s="141">
        <f t="shared" si="7"/>
        <v>14798389.162136344</v>
      </c>
      <c r="K24" s="141">
        <f t="shared" si="7"/>
        <v>15094356.945379071</v>
      </c>
    </row>
    <row r="25" spans="1:11" s="56" customFormat="1" ht="22.5" customHeight="1">
      <c r="A25" s="42" t="s">
        <v>56</v>
      </c>
      <c r="B25" s="51" t="s">
        <v>140</v>
      </c>
      <c r="C25" s="308"/>
      <c r="D25" s="320">
        <f>2!F109</f>
        <v>25612560</v>
      </c>
      <c r="E25" s="314">
        <f>2!H109+2000000</f>
        <v>13500360</v>
      </c>
      <c r="F25" s="141">
        <f t="shared" si="7"/>
        <v>13770367.200000001</v>
      </c>
      <c r="G25" s="141">
        <f t="shared" si="7"/>
        <v>14045774.544000002</v>
      </c>
      <c r="H25" s="141">
        <f t="shared" si="7"/>
        <v>14326690.034880001</v>
      </c>
      <c r="I25" s="141">
        <f t="shared" si="7"/>
        <v>14613223.835577602</v>
      </c>
      <c r="J25" s="141">
        <f t="shared" si="7"/>
        <v>14905488.312289154</v>
      </c>
      <c r="K25" s="141">
        <f t="shared" si="7"/>
        <v>15203598.078534938</v>
      </c>
    </row>
    <row r="26" spans="1:11" s="56" customFormat="1" ht="22.5" customHeight="1">
      <c r="A26" s="42" t="s">
        <v>73</v>
      </c>
      <c r="B26" s="51" t="s">
        <v>141</v>
      </c>
      <c r="C26" s="308"/>
      <c r="D26" s="320">
        <f aca="true" t="shared" si="8" ref="D26:K26">D24-D25</f>
        <v>-1284221</v>
      </c>
      <c r="E26" s="314">
        <f t="shared" si="8"/>
        <v>-97003</v>
      </c>
      <c r="F26" s="141">
        <f t="shared" si="8"/>
        <v>-98943.06000000052</v>
      </c>
      <c r="G26" s="141">
        <f t="shared" si="8"/>
        <v>-100921.92120000161</v>
      </c>
      <c r="H26" s="141">
        <f t="shared" si="8"/>
        <v>-102940.35962400027</v>
      </c>
      <c r="I26" s="141">
        <f t="shared" si="8"/>
        <v>-104999.16681648046</v>
      </c>
      <c r="J26" s="141">
        <f t="shared" si="8"/>
        <v>-107099.15015280992</v>
      </c>
      <c r="K26" s="141">
        <f t="shared" si="8"/>
        <v>-109241.13315586746</v>
      </c>
    </row>
    <row r="27" spans="1:11" s="44" customFormat="1" ht="22.5" customHeight="1">
      <c r="A27" s="42" t="s">
        <v>76</v>
      </c>
      <c r="B27" s="51" t="s">
        <v>129</v>
      </c>
      <c r="C27" s="308"/>
      <c r="D27" s="320"/>
      <c r="E27" s="314"/>
      <c r="F27" s="141"/>
      <c r="G27" s="141"/>
      <c r="H27" s="141"/>
      <c r="I27" s="141"/>
      <c r="J27" s="141"/>
      <c r="K27" s="141"/>
    </row>
    <row r="28" spans="1:11" s="37" customFormat="1" ht="15" customHeight="1">
      <c r="A28" s="42" t="s">
        <v>165</v>
      </c>
      <c r="B28" s="51" t="s">
        <v>480</v>
      </c>
      <c r="C28" s="311"/>
      <c r="D28" s="323">
        <f>(D7-D15+D22)/D24</f>
        <v>0.16720829153194552</v>
      </c>
      <c r="E28" s="317">
        <f aca="true" t="shared" si="9" ref="E28:K28">(E7)/E24</f>
        <v>0.24021892425904942</v>
      </c>
      <c r="F28" s="231">
        <f t="shared" si="9"/>
        <v>0.17230831081508674</v>
      </c>
      <c r="G28" s="231">
        <f t="shared" si="9"/>
        <v>0.12727707118955728</v>
      </c>
      <c r="H28" s="231">
        <f t="shared" si="9"/>
        <v>0.08707408582664816</v>
      </c>
      <c r="I28" s="231">
        <f t="shared" si="9"/>
        <v>0.05691116720695959</v>
      </c>
      <c r="J28" s="231">
        <f t="shared" si="9"/>
        <v>0.027897630983803715</v>
      </c>
      <c r="K28" s="231">
        <f t="shared" si="9"/>
        <v>0</v>
      </c>
    </row>
    <row r="29" spans="1:11" s="37" customFormat="1" ht="28.5" customHeight="1">
      <c r="A29" s="42" t="s">
        <v>166</v>
      </c>
      <c r="B29" s="51" t="s">
        <v>481</v>
      </c>
      <c r="C29" s="311"/>
      <c r="D29" s="323">
        <f aca="true" t="shared" si="10" ref="D29:K29">(D7-D11-D15+D22)/D24</f>
        <v>0.16720829153194552</v>
      </c>
      <c r="E29" s="317">
        <f t="shared" si="10"/>
        <v>0.24021892425904942</v>
      </c>
      <c r="F29" s="231">
        <f t="shared" si="10"/>
        <v>0.17230831081508674</v>
      </c>
      <c r="G29" s="231">
        <f t="shared" si="10"/>
        <v>0.12727707118955728</v>
      </c>
      <c r="H29" s="231">
        <f t="shared" si="10"/>
        <v>0.08707408582664816</v>
      </c>
      <c r="I29" s="231">
        <f t="shared" si="10"/>
        <v>0.05691116720695959</v>
      </c>
      <c r="J29" s="231">
        <f t="shared" si="10"/>
        <v>0.027897630983803715</v>
      </c>
      <c r="K29" s="231">
        <f t="shared" si="10"/>
        <v>0</v>
      </c>
    </row>
    <row r="30" spans="1:11" s="37" customFormat="1" ht="15" customHeight="1">
      <c r="A30" s="42" t="s">
        <v>167</v>
      </c>
      <c r="B30" s="51" t="s">
        <v>169</v>
      </c>
      <c r="C30" s="311"/>
      <c r="D30" s="323">
        <f aca="true" t="shared" si="11" ref="D30:K30">D16/D24</f>
        <v>0.3637626062346468</v>
      </c>
      <c r="E30" s="317">
        <f t="shared" si="11"/>
        <v>0.07612503345244032</v>
      </c>
      <c r="F30" s="231">
        <f t="shared" si="11"/>
        <v>0.07281136111398559</v>
      </c>
      <c r="G30" s="231">
        <f t="shared" si="11"/>
        <v>0.04854414874870699</v>
      </c>
      <c r="H30" s="231">
        <f t="shared" si="11"/>
        <v>0.04271138158855892</v>
      </c>
      <c r="I30" s="231">
        <f t="shared" si="11"/>
        <v>0.03190224928047816</v>
      </c>
      <c r="J30" s="231">
        <f t="shared" si="11"/>
        <v>0.029989412708209404</v>
      </c>
      <c r="K30" s="231">
        <f t="shared" si="11"/>
        <v>0.0280784402763013</v>
      </c>
    </row>
    <row r="31" spans="1:11" s="37" customFormat="1" ht="16.5" customHeight="1" thickBot="1">
      <c r="A31" s="42" t="s">
        <v>168</v>
      </c>
      <c r="B31" s="51" t="s">
        <v>485</v>
      </c>
      <c r="C31" s="311"/>
      <c r="D31" s="324">
        <f>(D16-D22)/D24</f>
        <v>0.036161120576295815</v>
      </c>
      <c r="E31" s="317">
        <f aca="true" t="shared" si="12" ref="E31:K31">(E16-E22)/E24</f>
        <v>0.07612503345244032</v>
      </c>
      <c r="F31" s="231">
        <f t="shared" si="12"/>
        <v>0.07281136111398559</v>
      </c>
      <c r="G31" s="231">
        <f t="shared" si="12"/>
        <v>0.04854414874870699</v>
      </c>
      <c r="H31" s="231">
        <f t="shared" si="12"/>
        <v>0.04271138158855892</v>
      </c>
      <c r="I31" s="231">
        <f t="shared" si="12"/>
        <v>0.03190224928047816</v>
      </c>
      <c r="J31" s="231">
        <f t="shared" si="12"/>
        <v>0.029989412708209404</v>
      </c>
      <c r="K31" s="231">
        <f t="shared" si="12"/>
        <v>0.0280784402763013</v>
      </c>
    </row>
    <row r="33" ht="12.75">
      <c r="B33" s="43" t="s">
        <v>461</v>
      </c>
    </row>
  </sheetData>
  <mergeCells count="5">
    <mergeCell ref="A2:K2"/>
    <mergeCell ref="A4:A5"/>
    <mergeCell ref="B4:B5"/>
    <mergeCell ref="C4:C5"/>
    <mergeCell ref="D4:K4"/>
  </mergeCells>
  <printOptions horizontalCentered="1" verticalCentered="1"/>
  <pageMargins left="0.2" right="0.19" top="0.74" bottom="0.21" header="0.34" footer="0.16"/>
  <pageSetup fitToHeight="1" fitToWidth="1" horizontalDpi="600" verticalDpi="600" orientation="landscape" paperSize="9" scale="85" r:id="rId1"/>
  <headerFooter alignWithMargins="0">
    <oddHeader>&amp;R&amp;"Arial CE,Pogrubiony"Załącznik nr &amp;A&amp;"Arial CE,Standardowy"&amp;9
do Uchwały Rady Gminy w Miłkowicach Nr  XXI/102/2008
z dnia 12 lutego 2008 roku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showGridLines="0" defaultGridColor="0" colorId="8" workbookViewId="0" topLeftCell="A1">
      <selection activeCell="A1" sqref="A1:H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4.25390625" style="1" customWidth="1"/>
    <col min="4" max="4" width="14.875" style="1" customWidth="1"/>
    <col min="5" max="5" width="13.625" style="1" customWidth="1"/>
    <col min="6" max="6" width="15.625" style="0" customWidth="1"/>
    <col min="7" max="7" width="12.25390625" style="0" customWidth="1"/>
    <col min="8" max="8" width="15.875" style="0" customWidth="1"/>
  </cols>
  <sheetData>
    <row r="1" spans="1:8" ht="48.75" customHeight="1">
      <c r="A1" s="1109" t="s">
        <v>493</v>
      </c>
      <c r="B1" s="1109"/>
      <c r="C1" s="1109"/>
      <c r="D1" s="1109"/>
      <c r="E1" s="1109"/>
      <c r="F1" s="1109"/>
      <c r="G1" s="1109"/>
      <c r="H1" s="1109"/>
    </row>
    <row r="2" ht="12.75">
      <c r="H2" s="9" t="s">
        <v>95</v>
      </c>
    </row>
    <row r="3" spans="1:8" s="3" customFormat="1" ht="20.25" customHeight="1">
      <c r="A3" s="1100" t="s">
        <v>57</v>
      </c>
      <c r="B3" s="1111" t="s">
        <v>58</v>
      </c>
      <c r="C3" s="1110" t="s">
        <v>133</v>
      </c>
      <c r="D3" s="1110" t="s">
        <v>386</v>
      </c>
      <c r="E3" s="1110" t="s">
        <v>118</v>
      </c>
      <c r="F3" s="1110"/>
      <c r="G3" s="1110"/>
      <c r="H3" s="1110"/>
    </row>
    <row r="4" spans="1:8" s="3" customFormat="1" ht="20.25" customHeight="1">
      <c r="A4" s="1100"/>
      <c r="B4" s="1112"/>
      <c r="C4" s="1100"/>
      <c r="D4" s="1110"/>
      <c r="E4" s="1110" t="s">
        <v>131</v>
      </c>
      <c r="F4" s="1110" t="s">
        <v>61</v>
      </c>
      <c r="G4" s="1110"/>
      <c r="H4" s="1110" t="s">
        <v>132</v>
      </c>
    </row>
    <row r="5" spans="1:8" s="3" customFormat="1" ht="65.25" customHeight="1">
      <c r="A5" s="1100"/>
      <c r="B5" s="1113"/>
      <c r="C5" s="1100"/>
      <c r="D5" s="1110"/>
      <c r="E5" s="1110"/>
      <c r="F5" s="16" t="s">
        <v>385</v>
      </c>
      <c r="G5" s="16" t="s">
        <v>148</v>
      </c>
      <c r="H5" s="1110"/>
    </row>
    <row r="6" spans="1:8" ht="9" customHeight="1">
      <c r="A6" s="18">
        <v>1</v>
      </c>
      <c r="B6" s="18">
        <v>2</v>
      </c>
      <c r="C6" s="18">
        <v>4</v>
      </c>
      <c r="D6" s="18">
        <v>5</v>
      </c>
      <c r="E6" s="18">
        <v>6</v>
      </c>
      <c r="F6" s="18">
        <v>7</v>
      </c>
      <c r="G6" s="18">
        <v>8</v>
      </c>
      <c r="H6" s="18">
        <v>9</v>
      </c>
    </row>
    <row r="7" spans="1:8" ht="19.5" customHeight="1">
      <c r="A7" s="19">
        <v>750</v>
      </c>
      <c r="B7" s="19">
        <v>75011</v>
      </c>
      <c r="C7" s="109">
        <v>66678</v>
      </c>
      <c r="D7" s="112">
        <f aca="true" t="shared" si="0" ref="D7:D13">E7+H7</f>
        <v>66678</v>
      </c>
      <c r="E7" s="109">
        <v>66678</v>
      </c>
      <c r="F7" s="109">
        <v>66678</v>
      </c>
      <c r="G7" s="109"/>
      <c r="H7" s="109"/>
    </row>
    <row r="8" spans="1:8" ht="19.5" customHeight="1">
      <c r="A8" s="20">
        <v>751</v>
      </c>
      <c r="B8" s="20">
        <v>75101</v>
      </c>
      <c r="C8" s="82">
        <v>1020</v>
      </c>
      <c r="D8" s="82">
        <f t="shared" si="0"/>
        <v>1020</v>
      </c>
      <c r="E8" s="82">
        <f>F8</f>
        <v>1020</v>
      </c>
      <c r="F8" s="82">
        <v>1020</v>
      </c>
      <c r="G8" s="82"/>
      <c r="H8" s="82"/>
    </row>
    <row r="9" spans="1:8" ht="19.5" customHeight="1">
      <c r="A9" s="20">
        <v>752</v>
      </c>
      <c r="B9" s="20">
        <v>75212</v>
      </c>
      <c r="C9" s="82">
        <v>500</v>
      </c>
      <c r="D9" s="82">
        <f t="shared" si="0"/>
        <v>500</v>
      </c>
      <c r="E9" s="82">
        <v>500</v>
      </c>
      <c r="F9" s="82"/>
      <c r="G9" s="82"/>
      <c r="H9" s="82"/>
    </row>
    <row r="10" spans="1:8" ht="19.5" customHeight="1">
      <c r="A10" s="20">
        <v>754</v>
      </c>
      <c r="B10" s="20">
        <v>75414</v>
      </c>
      <c r="C10" s="82">
        <v>1000</v>
      </c>
      <c r="D10" s="82">
        <f t="shared" si="0"/>
        <v>1000</v>
      </c>
      <c r="E10" s="82">
        <v>1000</v>
      </c>
      <c r="F10" s="82"/>
      <c r="G10" s="82"/>
      <c r="H10" s="82"/>
    </row>
    <row r="11" spans="1:8" ht="19.5" customHeight="1">
      <c r="A11" s="20">
        <v>852</v>
      </c>
      <c r="B11" s="20">
        <v>85212</v>
      </c>
      <c r="C11" s="82">
        <v>1599000</v>
      </c>
      <c r="D11" s="82">
        <f t="shared" si="0"/>
        <v>1599000</v>
      </c>
      <c r="E11" s="82">
        <f>F11+G11+1000+1000+719+1713+700+700</f>
        <v>1599000</v>
      </c>
      <c r="F11" s="82">
        <f>33155+2500+5609+17043+874</f>
        <v>59181</v>
      </c>
      <c r="G11" s="82">
        <v>1533987</v>
      </c>
      <c r="H11" s="82"/>
    </row>
    <row r="12" spans="1:8" ht="19.5" customHeight="1">
      <c r="A12" s="20">
        <v>852</v>
      </c>
      <c r="B12" s="20">
        <v>85213</v>
      </c>
      <c r="C12" s="82">
        <v>20000</v>
      </c>
      <c r="D12" s="82">
        <f t="shared" si="0"/>
        <v>20000</v>
      </c>
      <c r="E12" s="82">
        <f>F12+G12</f>
        <v>20000</v>
      </c>
      <c r="F12" s="82">
        <v>20000</v>
      </c>
      <c r="G12" s="82"/>
      <c r="H12" s="82"/>
    </row>
    <row r="13" spans="1:8" ht="19.5" customHeight="1">
      <c r="A13" s="20">
        <v>852</v>
      </c>
      <c r="B13" s="20">
        <v>85214</v>
      </c>
      <c r="C13" s="82">
        <v>200000</v>
      </c>
      <c r="D13" s="82">
        <f t="shared" si="0"/>
        <v>200000</v>
      </c>
      <c r="E13" s="82">
        <f>F13+G13</f>
        <v>200000</v>
      </c>
      <c r="F13" s="82"/>
      <c r="G13" s="82">
        <v>200000</v>
      </c>
      <c r="H13" s="82"/>
    </row>
    <row r="14" spans="1:8" ht="19.5" customHeight="1">
      <c r="A14" s="1114" t="s">
        <v>139</v>
      </c>
      <c r="B14" s="1115"/>
      <c r="C14" s="111">
        <f aca="true" t="shared" si="1" ref="C14:H14">SUM(C7:C13)</f>
        <v>1888198</v>
      </c>
      <c r="D14" s="111">
        <f t="shared" si="1"/>
        <v>1888198</v>
      </c>
      <c r="E14" s="111">
        <f t="shared" si="1"/>
        <v>1888198</v>
      </c>
      <c r="F14" s="111">
        <f t="shared" si="1"/>
        <v>146879</v>
      </c>
      <c r="G14" s="111">
        <f t="shared" si="1"/>
        <v>1733987</v>
      </c>
      <c r="H14" s="111">
        <f t="shared" si="1"/>
        <v>0</v>
      </c>
    </row>
    <row r="16" ht="12.75">
      <c r="A16" s="57"/>
    </row>
    <row r="17" ht="12.75">
      <c r="B17" s="43" t="s">
        <v>461</v>
      </c>
    </row>
  </sheetData>
  <mergeCells count="10">
    <mergeCell ref="A14:B14"/>
    <mergeCell ref="F4:G4"/>
    <mergeCell ref="H4:H5"/>
    <mergeCell ref="E3:H3"/>
    <mergeCell ref="A1:H1"/>
    <mergeCell ref="E4:E5"/>
    <mergeCell ref="C3:C5"/>
    <mergeCell ref="D3:D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&amp;R&amp;"Arial CE,Pogrubiony"Załącznik nr &amp;A&amp;"Arial CE,Standardowy"
doUchwały Rady Gminy w Miłkowicach Nr XXI/102/2008
z dnia 12 lutego 2008 roku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K6" sqref="K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39.125" style="1" customWidth="1"/>
    <col min="5" max="5" width="12.625" style="1" customWidth="1"/>
    <col min="6" max="6" width="13.125" style="1" customWidth="1"/>
    <col min="7" max="7" width="12.875" style="1" customWidth="1"/>
    <col min="73" max="16384" width="9.125" style="1" customWidth="1"/>
  </cols>
  <sheetData>
    <row r="1" spans="1:7" ht="45" customHeight="1">
      <c r="A1" s="1109" t="s">
        <v>490</v>
      </c>
      <c r="B1" s="1109"/>
      <c r="C1" s="1109"/>
      <c r="D1" s="1109"/>
      <c r="E1" s="1109"/>
      <c r="F1" s="1109"/>
      <c r="G1" s="1109"/>
    </row>
    <row r="2" spans="1:7" ht="15.75">
      <c r="A2" s="12"/>
      <c r="B2" s="12"/>
      <c r="C2" s="12"/>
      <c r="D2" s="12"/>
      <c r="E2" s="12"/>
      <c r="F2" s="12"/>
      <c r="G2" s="12"/>
    </row>
    <row r="3" spans="1:7" ht="13.5" customHeight="1">
      <c r="A3" s="5"/>
      <c r="B3" s="5"/>
      <c r="C3" s="5"/>
      <c r="D3" s="5"/>
      <c r="E3" s="5"/>
      <c r="F3" s="5"/>
      <c r="G3" s="50" t="s">
        <v>95</v>
      </c>
    </row>
    <row r="4" spans="1:7" ht="20.25" customHeight="1">
      <c r="A4" s="1100" t="s">
        <v>57</v>
      </c>
      <c r="B4" s="1111" t="s">
        <v>58</v>
      </c>
      <c r="C4" s="1111" t="s">
        <v>59</v>
      </c>
      <c r="D4" s="1111" t="s">
        <v>55</v>
      </c>
      <c r="E4" s="1110" t="s">
        <v>491</v>
      </c>
      <c r="F4" s="1110" t="s">
        <v>492</v>
      </c>
      <c r="G4" s="1110" t="s">
        <v>277</v>
      </c>
    </row>
    <row r="5" spans="1:7" ht="18" customHeight="1">
      <c r="A5" s="1100"/>
      <c r="B5" s="1112"/>
      <c r="C5" s="1112"/>
      <c r="D5" s="1112"/>
      <c r="E5" s="1100"/>
      <c r="F5" s="1110"/>
      <c r="G5" s="1110"/>
    </row>
    <row r="6" spans="1:7" ht="69" customHeight="1">
      <c r="A6" s="1100"/>
      <c r="B6" s="1113"/>
      <c r="C6" s="1113"/>
      <c r="D6" s="1113"/>
      <c r="E6" s="1100"/>
      <c r="F6" s="1110"/>
      <c r="G6" s="1110"/>
    </row>
    <row r="7" spans="1:7" ht="8.25" customHeight="1">
      <c r="A7" s="18">
        <v>1</v>
      </c>
      <c r="B7" s="18">
        <v>2</v>
      </c>
      <c r="C7" s="18">
        <v>3</v>
      </c>
      <c r="D7" s="18"/>
      <c r="E7" s="18">
        <v>4</v>
      </c>
      <c r="F7" s="18">
        <v>5</v>
      </c>
      <c r="G7" s="18">
        <v>6</v>
      </c>
    </row>
    <row r="8" spans="1:7" ht="25.5">
      <c r="A8" s="29">
        <v>750</v>
      </c>
      <c r="B8" s="29">
        <v>75023</v>
      </c>
      <c r="C8" s="127" t="s">
        <v>183</v>
      </c>
      <c r="D8" s="128" t="s">
        <v>403</v>
      </c>
      <c r="E8" s="109">
        <v>25000</v>
      </c>
      <c r="F8" s="109">
        <v>7000</v>
      </c>
      <c r="G8" s="131">
        <f>F8/E8</f>
        <v>0.28</v>
      </c>
    </row>
    <row r="9" spans="1:7" ht="38.25">
      <c r="A9" s="30">
        <v>852</v>
      </c>
      <c r="B9" s="30">
        <v>85212</v>
      </c>
      <c r="C9" s="74" t="s">
        <v>177</v>
      </c>
      <c r="D9" s="129" t="s">
        <v>406</v>
      </c>
      <c r="E9" s="82">
        <v>3000</v>
      </c>
      <c r="F9" s="82">
        <v>4000</v>
      </c>
      <c r="G9" s="238">
        <f>F9/E9</f>
        <v>1.3333333333333333</v>
      </c>
    </row>
    <row r="10" spans="1:7" ht="19.5" customHeight="1">
      <c r="A10" s="20"/>
      <c r="B10" s="20"/>
      <c r="C10" s="20"/>
      <c r="D10" s="20"/>
      <c r="E10" s="82"/>
      <c r="F10" s="82"/>
      <c r="G10" s="132"/>
    </row>
    <row r="11" spans="1:7" ht="19.5" customHeight="1">
      <c r="A11" s="20"/>
      <c r="B11" s="20"/>
      <c r="C11" s="20"/>
      <c r="D11" s="20"/>
      <c r="E11" s="82"/>
      <c r="F11" s="82"/>
      <c r="G11" s="132"/>
    </row>
    <row r="12" spans="1:7" ht="19.5" customHeight="1">
      <c r="A12" s="21"/>
      <c r="B12" s="21"/>
      <c r="C12" s="21"/>
      <c r="D12" s="21"/>
      <c r="E12" s="110"/>
      <c r="F12" s="110"/>
      <c r="G12" s="133"/>
    </row>
    <row r="13" spans="1:7" ht="24.75" customHeight="1">
      <c r="A13" s="1114" t="s">
        <v>139</v>
      </c>
      <c r="B13" s="1115"/>
      <c r="C13" s="1115"/>
      <c r="D13" s="1115"/>
      <c r="E13" s="130">
        <f>SUM(E8:E12)</f>
        <v>28000</v>
      </c>
      <c r="F13" s="130">
        <f>SUM(F8:F12)</f>
        <v>11000</v>
      </c>
      <c r="G13" s="134">
        <f>F13/E13</f>
        <v>0.39285714285714285</v>
      </c>
    </row>
    <row r="15" ht="12.75">
      <c r="A15" s="57"/>
    </row>
    <row r="16" ht="12.75">
      <c r="B16" s="43" t="s">
        <v>461</v>
      </c>
    </row>
  </sheetData>
  <mergeCells count="9">
    <mergeCell ref="A13:D13"/>
    <mergeCell ref="C4:C6"/>
    <mergeCell ref="E4:E6"/>
    <mergeCell ref="A1:G1"/>
    <mergeCell ref="F4:F6"/>
    <mergeCell ref="A4:A6"/>
    <mergeCell ref="B4:B6"/>
    <mergeCell ref="G4:G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&amp;R&amp;"Arial CE,Pogrubiony"Załącznik nr &amp;A&amp;"Arial CE,Standardowy"
do Uchwały Rady Gminy w Miłkowicach Nr XXI/102/2008
z dnia 12 lutego 2008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</cp:lastModifiedBy>
  <cp:lastPrinted>2008-02-13T11:06:44Z</cp:lastPrinted>
  <dcterms:created xsi:type="dcterms:W3CDTF">1998-12-09T13:02:10Z</dcterms:created>
  <dcterms:modified xsi:type="dcterms:W3CDTF">2008-02-13T11:34:55Z</dcterms:modified>
  <cp:category/>
  <cp:version/>
  <cp:contentType/>
  <cp:contentStatus/>
</cp:coreProperties>
</file>