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50" activeTab="0"/>
  </bookViews>
  <sheets>
    <sheet name="Zał_1" sheetId="1" r:id="rId1"/>
  </sheets>
  <definedNames>
    <definedName name="_xlnm.Print_Area" localSheetId="0">'Zał_1'!$A$1:$AI$51</definedName>
  </definedNames>
  <calcPr fullCalcOnLoad="1"/>
</workbook>
</file>

<file path=xl/sharedStrings.xml><?xml version="1.0" encoding="utf-8"?>
<sst xmlns="http://schemas.openxmlformats.org/spreadsheetml/2006/main" count="92" uniqueCount="74">
  <si>
    <t>Lp.</t>
  </si>
  <si>
    <t>Wyszczególnienie</t>
  </si>
  <si>
    <t>pożyczek</t>
  </si>
  <si>
    <t>kredytów</t>
  </si>
  <si>
    <t>obligacji</t>
  </si>
  <si>
    <t>2.</t>
  </si>
  <si>
    <t>dochody bieżące</t>
  </si>
  <si>
    <t>6.</t>
  </si>
  <si>
    <t>DOCHODY OGÓŁEM, z tego:</t>
  </si>
  <si>
    <t>PLAN</t>
  </si>
  <si>
    <t>WYKONANIE</t>
  </si>
  <si>
    <t>PROGNOZA</t>
  </si>
  <si>
    <t>dochody majątkowe, w tym:</t>
  </si>
  <si>
    <t>- dochody ze sprzedaży majątku</t>
  </si>
  <si>
    <t>kredytów, pożyczek i obligacji na realizację projektów finansowanych z udziałem środków UE</t>
  </si>
  <si>
    <t>Relacje do dochodów (zg. z art. 169 i art.170 ustawy o finansach publicznych z dnia 30 czerwca 2005 roku):</t>
  </si>
  <si>
    <t>1a</t>
  </si>
  <si>
    <t>1b</t>
  </si>
  <si>
    <t>1c</t>
  </si>
  <si>
    <t xml:space="preserve">WIELOLETNIA PROGNOZA FINANSOWA GMINY MIŁKOWICE </t>
  </si>
  <si>
    <t>WYDATKI BIEŻĄCE (bez odsetek i prowizji od: kredytów i pożyczek oraz wyemitowanych papierów wartościowych), w tym:</t>
  </si>
  <si>
    <t>2a</t>
  </si>
  <si>
    <t>na wynagrodzenia i składki od nich naliczane</t>
  </si>
  <si>
    <t>2b</t>
  </si>
  <si>
    <t>2c</t>
  </si>
  <si>
    <t>2d</t>
  </si>
  <si>
    <t>2e</t>
  </si>
  <si>
    <t>związane z funkcjonowaniem organów JST</t>
  </si>
  <si>
    <t>z tytułu gwarancji i poręczęń, w tym:</t>
  </si>
  <si>
    <t>gwarancje i poręczenia podlegające wyłączeniu z limitów spłaty zobowiązań z art..243 ufp/169 sufp</t>
  </si>
  <si>
    <t>wydatki bieżące objęte limitem art.226 ust.4 ufp</t>
  </si>
  <si>
    <t>Różnica (1-2)</t>
  </si>
  <si>
    <t>na 3kw.2010</t>
  </si>
  <si>
    <t>Przewid. wykonanie 2010</t>
  </si>
  <si>
    <t>4a</t>
  </si>
  <si>
    <t>nadwyżka budżetowa z lat ubiegłych plus wolne środki, zgodnie z art.217 ufp, angażowane na pokrycie budżetu roku bieżącego</t>
  </si>
  <si>
    <t>Inne przychody nie związane z zaciągnięciem długu</t>
  </si>
  <si>
    <t>Środki do dyspozycji (3+4+5)</t>
  </si>
  <si>
    <t>7a</t>
  </si>
  <si>
    <t>7b</t>
  </si>
  <si>
    <t>rozchody z tytułu spłaty rat kapitałowych oraz wykupu papierów wartościowych</t>
  </si>
  <si>
    <t>wydatki bieżące na obsługę długu</t>
  </si>
  <si>
    <t>Spłata i obsługa długu, z tego:</t>
  </si>
  <si>
    <t>Inne rozchody (bez spłaty długu np. udzielane pożyczki)</t>
  </si>
  <si>
    <t>Środki do dyspozycji (6-7-8)</t>
  </si>
  <si>
    <t>Wydatki majątkowe</t>
  </si>
  <si>
    <t>10a</t>
  </si>
  <si>
    <t>wydatki majątkowe objęte limitem art.226 ust. 4 ufp</t>
  </si>
  <si>
    <t>PRZYCHODY (kredyty, pożyczki, emisje obligacji)</t>
  </si>
  <si>
    <t>Rozliczenie budżetu (9-10+11)</t>
  </si>
  <si>
    <t>13a</t>
  </si>
  <si>
    <t>13b</t>
  </si>
  <si>
    <t>Kwota długu, w tym:</t>
  </si>
  <si>
    <t>łączna kwota wyłączeń z art.243 ust.3 pkt 1 ufp oraz art.170 ust.3 sufp</t>
  </si>
  <si>
    <t>kwota wyłączeń z art.243 ust.3 pkt 1 ufp oraz art.169 ust.3 sufp przypadająca na dany rok budżetowy</t>
  </si>
  <si>
    <t>Planowana łączna kwota spłaty zobowiązań</t>
  </si>
  <si>
    <t>15a</t>
  </si>
  <si>
    <t>maksymalny dopuszczalny wskaźnik spłaty z art.243 ufp</t>
  </si>
  <si>
    <t>TAK</t>
  </si>
  <si>
    <t>Planowana łączna kwota spłaty zobowiązań do dochodów ogółem - max 15% z art.169 sufp</t>
  </si>
  <si>
    <t>Zadłużenie/dochody ogółem [(13-13a):1] - max 60% z art.170 sufp</t>
  </si>
  <si>
    <t>Wydatki bieżące razem (2+7b)</t>
  </si>
  <si>
    <t>Wydatki ogółem (10+19)</t>
  </si>
  <si>
    <t>Wynik budżetu (1-20)</t>
  </si>
  <si>
    <t>Przychody budżetu (4+5+11)</t>
  </si>
  <si>
    <t>Rozchody budżetu (7a+8)</t>
  </si>
  <si>
    <t>Nadwyżka budżetowa z lat ubiegłych plus wolne środki, zgodnie z art.217 ufp, w tym:</t>
  </si>
  <si>
    <t>NIE</t>
  </si>
  <si>
    <t>15b</t>
  </si>
  <si>
    <t>15c</t>
  </si>
  <si>
    <t>Planowana łączna kwota spłaty zobowiązań po uwzględnieniu art.244 ufp</t>
  </si>
  <si>
    <t>Relacja (Db-Wb+Dsm)/Do, o której mowa w art.243 w danym roku</t>
  </si>
  <si>
    <t>Spełnienie wskaźnika spłaty z art.243 ufp po uwzględnieniu art.244 ufp</t>
  </si>
  <si>
    <t>Kwota zobowiązań związku współtworzonego przez jst przypadających do spłaty w danym roku budżetowym podlegająca doliczeniu zgodnie z art.244 ufp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</si>
</sst>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#,##0.000"/>
    <numFmt numFmtId="205" formatCode="0.0%"/>
  </numFmts>
  <fonts count="3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</borders>
  <cellStyleXfs count="64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 applyNumberFormat="0" applyFill="0" applyBorder="0" applyAlignment="0" applyProtection="0"/>
    <xf numFmtId="0" fontId="28" fillId="20" borderId="8" applyNumberFormat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85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54" applyFont="1" applyFill="1" applyAlignment="1">
      <alignment horizontal="right"/>
      <protection/>
    </xf>
    <xf numFmtId="0" fontId="9" fillId="0" borderId="0" xfId="54" applyFont="1" applyFill="1" applyAlignment="1">
      <alignment horizontal="right"/>
      <protection/>
    </xf>
    <xf numFmtId="4" fontId="13" fillId="0" borderId="10" xfId="54" applyNumberFormat="1" applyFont="1" applyFill="1" applyBorder="1" applyAlignment="1">
      <alignment horizontal="right" vertical="center" wrapText="1"/>
      <protection/>
    </xf>
    <xf numFmtId="4" fontId="11" fillId="0" borderId="10" xfId="54" applyNumberFormat="1" applyFont="1" applyFill="1" applyBorder="1" applyAlignment="1">
      <alignment horizontal="right" vertical="center" wrapText="1"/>
      <protection/>
    </xf>
    <xf numFmtId="205" fontId="33" fillId="0" borderId="0" xfId="54" applyNumberFormat="1" applyFont="1" applyFill="1">
      <alignment/>
      <protection/>
    </xf>
    <xf numFmtId="3" fontId="11" fillId="0" borderId="10" xfId="54" applyNumberFormat="1" applyFont="1" applyFill="1" applyBorder="1" applyAlignment="1">
      <alignment horizontal="right" vertical="center" wrapText="1"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0" fontId="7" fillId="0" borderId="0" xfId="54" applyFont="1" applyFill="1">
      <alignment/>
      <protection/>
    </xf>
    <xf numFmtId="205" fontId="32" fillId="0" borderId="0" xfId="54" applyNumberFormat="1" applyFont="1" applyFill="1">
      <alignment/>
      <protection/>
    </xf>
    <xf numFmtId="4" fontId="4" fillId="0" borderId="11" xfId="54" applyNumberFormat="1" applyFont="1" applyFill="1" applyBorder="1" applyAlignment="1">
      <alignment horizont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205" fontId="34" fillId="0" borderId="15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wrapText="1"/>
      <protection/>
    </xf>
    <xf numFmtId="0" fontId="12" fillId="0" borderId="16" xfId="54" applyFont="1" applyFill="1" applyBorder="1" applyAlignment="1">
      <alignment horizontal="center" wrapText="1"/>
      <protection/>
    </xf>
    <xf numFmtId="205" fontId="35" fillId="0" borderId="17" xfId="54" applyNumberFormat="1" applyFont="1" applyFill="1" applyBorder="1" applyAlignment="1">
      <alignment horizontal="center" wrapText="1"/>
      <protection/>
    </xf>
    <xf numFmtId="0" fontId="12" fillId="0" borderId="0" xfId="54" applyFont="1" applyFill="1">
      <alignment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4" fontId="13" fillId="0" borderId="16" xfId="54" applyNumberFormat="1" applyFont="1" applyFill="1" applyBorder="1" applyAlignment="1">
      <alignment horizontal="right" vertical="center" wrapText="1"/>
      <protection/>
    </xf>
    <xf numFmtId="4" fontId="13" fillId="0" borderId="18" xfId="54" applyNumberFormat="1" applyFont="1" applyFill="1" applyBorder="1" applyAlignment="1">
      <alignment horizontal="right" vertical="center" wrapText="1"/>
      <protection/>
    </xf>
    <xf numFmtId="205" fontId="36" fillId="0" borderId="18" xfId="54" applyNumberFormat="1" applyFont="1" applyFill="1" applyBorder="1" applyAlignment="1">
      <alignment horizontal="right" vertical="center" wrapText="1"/>
      <protection/>
    </xf>
    <xf numFmtId="3" fontId="13" fillId="0" borderId="18" xfId="54" applyNumberFormat="1" applyFont="1" applyFill="1" applyBorder="1" applyAlignment="1">
      <alignment horizontal="right" vertical="center" wrapText="1"/>
      <protection/>
    </xf>
    <xf numFmtId="3" fontId="13" fillId="0" borderId="10" xfId="54" applyNumberFormat="1" applyFont="1" applyFill="1" applyBorder="1" applyAlignment="1">
      <alignment horizontal="right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4" fontId="11" fillId="0" borderId="16" xfId="54" applyNumberFormat="1" applyFont="1" applyFill="1" applyBorder="1" applyAlignment="1">
      <alignment horizontal="right" vertical="center" wrapText="1"/>
      <protection/>
    </xf>
    <xf numFmtId="4" fontId="11" fillId="0" borderId="18" xfId="54" applyNumberFormat="1" applyFont="1" applyFill="1" applyBorder="1" applyAlignment="1">
      <alignment horizontal="right" vertical="center" wrapText="1"/>
      <protection/>
    </xf>
    <xf numFmtId="205" fontId="35" fillId="0" borderId="18" xfId="54" applyNumberFormat="1" applyFont="1" applyFill="1" applyBorder="1" applyAlignment="1">
      <alignment horizontal="right" vertical="center" wrapText="1"/>
      <protection/>
    </xf>
    <xf numFmtId="0" fontId="11" fillId="0" borderId="0" xfId="54" applyFont="1" applyFill="1" applyAlignment="1">
      <alignment horizontal="right" vertical="center"/>
      <protection/>
    </xf>
    <xf numFmtId="3" fontId="11" fillId="0" borderId="18" xfId="54" applyNumberFormat="1" applyFont="1" applyFill="1" applyBorder="1" applyAlignment="1">
      <alignment horizontal="right" vertical="center" wrapText="1"/>
      <protection/>
    </xf>
    <xf numFmtId="49" fontId="11" fillId="0" borderId="10" xfId="54" applyNumberFormat="1" applyFont="1" applyFill="1" applyBorder="1" applyAlignment="1">
      <alignment horizontal="right" vertical="center" wrapText="1"/>
      <protection/>
    </xf>
    <xf numFmtId="205" fontId="35" fillId="0" borderId="19" xfId="54" applyNumberFormat="1" applyFont="1" applyFill="1" applyBorder="1" applyAlignment="1">
      <alignment horizontal="right" vertical="center" wrapText="1"/>
      <protection/>
    </xf>
    <xf numFmtId="0" fontId="11" fillId="0" borderId="0" xfId="54" applyFont="1" applyFill="1" applyAlignment="1">
      <alignment horizontal="left" vertical="center"/>
      <protection/>
    </xf>
    <xf numFmtId="4" fontId="14" fillId="0" borderId="16" xfId="54" applyNumberFormat="1" applyFont="1" applyFill="1" applyBorder="1" applyAlignment="1">
      <alignment horizontal="right" vertical="center" wrapText="1"/>
      <protection/>
    </xf>
    <xf numFmtId="205" fontId="37" fillId="0" borderId="16" xfId="54" applyNumberFormat="1" applyFont="1" applyFill="1" applyBorder="1" applyAlignment="1">
      <alignment horizontal="right" vertical="center" wrapText="1"/>
      <protection/>
    </xf>
    <xf numFmtId="3" fontId="14" fillId="0" borderId="16" xfId="54" applyNumberFormat="1" applyFont="1" applyFill="1" applyBorder="1" applyAlignment="1">
      <alignment horizontal="right" vertical="center" wrapText="1"/>
      <protection/>
    </xf>
    <xf numFmtId="3" fontId="14" fillId="0" borderId="10" xfId="54" applyNumberFormat="1" applyFont="1" applyFill="1" applyBorder="1" applyAlignment="1">
      <alignment horizontal="right" vertical="center" wrapText="1"/>
      <protection/>
    </xf>
    <xf numFmtId="0" fontId="14" fillId="0" borderId="0" xfId="54" applyFont="1" applyFill="1" applyAlignment="1">
      <alignment horizontal="right" vertical="center"/>
      <protection/>
    </xf>
    <xf numFmtId="3" fontId="11" fillId="0" borderId="16" xfId="54" applyNumberFormat="1" applyFont="1" applyFill="1" applyBorder="1" applyAlignment="1">
      <alignment horizontal="right" vertical="center" wrapText="1"/>
      <protection/>
    </xf>
    <xf numFmtId="0" fontId="14" fillId="0" borderId="10" xfId="54" applyFont="1" applyFill="1" applyBorder="1" applyAlignment="1">
      <alignment vertical="center" wrapText="1"/>
      <protection/>
    </xf>
    <xf numFmtId="3" fontId="13" fillId="0" borderId="16" xfId="54" applyNumberFormat="1" applyFont="1" applyFill="1" applyBorder="1" applyAlignment="1">
      <alignment horizontal="right" vertical="center" wrapText="1"/>
      <protection/>
    </xf>
    <xf numFmtId="205" fontId="36" fillId="0" borderId="16" xfId="54" applyNumberFormat="1" applyFont="1" applyFill="1" applyBorder="1" applyAlignment="1">
      <alignment horizontal="right" vertical="center" wrapText="1"/>
      <protection/>
    </xf>
    <xf numFmtId="4" fontId="11" fillId="0" borderId="0" xfId="54" applyNumberFormat="1" applyFont="1" applyFill="1" applyAlignment="1">
      <alignment horizontal="center" vertical="center"/>
      <protection/>
    </xf>
    <xf numFmtId="0" fontId="11" fillId="0" borderId="0" xfId="54" applyFont="1" applyFill="1" applyAlignment="1">
      <alignment vertical="center"/>
      <protection/>
    </xf>
    <xf numFmtId="4" fontId="11" fillId="0" borderId="10" xfId="54" applyNumberFormat="1" applyFont="1" applyFill="1" applyBorder="1" applyAlignment="1">
      <alignment vertical="center"/>
      <protection/>
    </xf>
    <xf numFmtId="4" fontId="14" fillId="0" borderId="10" xfId="54" applyNumberFormat="1" applyFont="1" applyFill="1" applyBorder="1" applyAlignment="1">
      <alignment horizontal="right" vertical="center" wrapText="1"/>
      <protection/>
    </xf>
    <xf numFmtId="0" fontId="14" fillId="0" borderId="16" xfId="54" applyFont="1" applyFill="1" applyBorder="1" applyAlignment="1">
      <alignment horizontal="left" vertical="center" wrapText="1"/>
      <protection/>
    </xf>
    <xf numFmtId="10" fontId="14" fillId="0" borderId="16" xfId="54" applyNumberFormat="1" applyFont="1" applyFill="1" applyBorder="1" applyAlignment="1">
      <alignment horizontal="right" vertical="center" wrapText="1"/>
      <protection/>
    </xf>
    <xf numFmtId="10" fontId="14" fillId="0" borderId="10" xfId="54" applyNumberFormat="1" applyFont="1" applyFill="1" applyBorder="1" applyAlignment="1">
      <alignment horizontal="right" vertical="center" wrapText="1"/>
      <protection/>
    </xf>
    <xf numFmtId="0" fontId="14" fillId="0" borderId="0" xfId="54" applyFont="1" applyFill="1" applyAlignment="1">
      <alignment vertical="center"/>
      <protection/>
    </xf>
    <xf numFmtId="2" fontId="11" fillId="0" borderId="10" xfId="54" applyNumberFormat="1" applyFont="1" applyFill="1" applyBorder="1" applyAlignment="1">
      <alignment horizontal="center" vertical="center" wrapText="1"/>
      <protection/>
    </xf>
    <xf numFmtId="2" fontId="11" fillId="0" borderId="16" xfId="54" applyNumberFormat="1" applyFont="1" applyFill="1" applyBorder="1" applyAlignment="1">
      <alignment horizontal="left" vertical="center" wrapText="1"/>
      <protection/>
    </xf>
    <xf numFmtId="10" fontId="11" fillId="0" borderId="16" xfId="54" applyNumberFormat="1" applyFont="1" applyFill="1" applyBorder="1" applyAlignment="1">
      <alignment horizontal="right" vertical="center" wrapText="1"/>
      <protection/>
    </xf>
    <xf numFmtId="205" fontId="35" fillId="0" borderId="16" xfId="54" applyNumberFormat="1" applyFont="1" applyFill="1" applyBorder="1" applyAlignment="1">
      <alignment horizontal="right" vertical="center" wrapText="1"/>
      <protection/>
    </xf>
    <xf numFmtId="10" fontId="11" fillId="0" borderId="10" xfId="54" applyNumberFormat="1" applyFont="1" applyFill="1" applyBorder="1" applyAlignment="1">
      <alignment horizontal="right" vertical="center" wrapText="1"/>
      <protection/>
    </xf>
    <xf numFmtId="2" fontId="11" fillId="0" borderId="0" xfId="54" applyNumberFormat="1" applyFont="1" applyFill="1" applyAlignment="1">
      <alignment vertical="center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6" xfId="54" applyFont="1" applyFill="1" applyBorder="1" applyAlignment="1">
      <alignment horizontal="left" vertical="center" wrapText="1"/>
      <protection/>
    </xf>
    <xf numFmtId="10" fontId="13" fillId="0" borderId="16" xfId="54" applyNumberFormat="1" applyFont="1" applyFill="1" applyBorder="1" applyAlignment="1">
      <alignment horizontal="center" vertical="center" wrapText="1"/>
      <protection/>
    </xf>
    <xf numFmtId="205" fontId="36" fillId="0" borderId="16" xfId="54" applyNumberFormat="1" applyFont="1" applyFill="1" applyBorder="1" applyAlignment="1">
      <alignment horizontal="center" vertical="center" wrapText="1"/>
      <protection/>
    </xf>
    <xf numFmtId="10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 applyFill="1" applyAlignment="1">
      <alignment vertical="center"/>
      <protection/>
    </xf>
    <xf numFmtId="10" fontId="13" fillId="0" borderId="16" xfId="54" applyNumberFormat="1" applyFont="1" applyFill="1" applyBorder="1" applyAlignment="1">
      <alignment horizontal="right" vertical="center" wrapText="1"/>
      <protection/>
    </xf>
    <xf numFmtId="10" fontId="13" fillId="0" borderId="10" xfId="54" applyNumberFormat="1" applyFont="1" applyFill="1" applyBorder="1" applyAlignment="1">
      <alignment horizontal="right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8" fillId="0" borderId="0" xfId="54" applyFont="1" applyFill="1" applyAlignment="1">
      <alignment horizontal="center" vertical="center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" fillId="0" borderId="13" xfId="54" applyNumberFormat="1" applyFont="1" applyFill="1" applyBorder="1" applyAlignment="1" applyProtection="1">
      <alignment horizontal="left"/>
      <protection locked="0"/>
    </xf>
    <xf numFmtId="0" fontId="10" fillId="0" borderId="16" xfId="54" applyFont="1" applyFill="1" applyBorder="1" applyAlignment="1">
      <alignment horizontal="center" vertical="center"/>
      <protection/>
    </xf>
    <xf numFmtId="0" fontId="10" fillId="0" borderId="23" xfId="54" applyFont="1" applyFill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center" vertical="center"/>
      <protection/>
    </xf>
    <xf numFmtId="0" fontId="10" fillId="0" borderId="21" xfId="54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ny_zm_WPF_07" xfId="54"/>
    <cellStyle name="Note" xfId="55"/>
    <cellStyle name="Followed Hyperlink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tabSelected="1" zoomScale="80" zoomScaleNormal="80" workbookViewId="0" topLeftCell="F34">
      <selection activeCell="M14" sqref="M14"/>
    </sheetView>
  </sheetViews>
  <sheetFormatPr defaultColWidth="10.66015625" defaultRowHeight="12.75"/>
  <cols>
    <col min="1" max="1" width="7.33203125" style="7" customWidth="1"/>
    <col min="2" max="2" width="59" style="8" customWidth="1"/>
    <col min="3" max="3" width="17.33203125" style="8" customWidth="1"/>
    <col min="4" max="4" width="17" style="8" customWidth="1"/>
    <col min="5" max="7" width="17.33203125" style="8" customWidth="1"/>
    <col min="8" max="8" width="6.16015625" style="5" hidden="1" customWidth="1"/>
    <col min="9" max="9" width="15.33203125" style="8" customWidth="1"/>
    <col min="10" max="10" width="6.16015625" style="5" hidden="1" customWidth="1"/>
    <col min="11" max="11" width="14.16015625" style="8" customWidth="1"/>
    <col min="12" max="12" width="6.16015625" style="5" hidden="1" customWidth="1"/>
    <col min="13" max="13" width="13.83203125" style="8" customWidth="1"/>
    <col min="14" max="14" width="6.16015625" style="5" hidden="1" customWidth="1"/>
    <col min="15" max="15" width="14.33203125" style="8" customWidth="1"/>
    <col min="16" max="16" width="6.16015625" style="5" hidden="1" customWidth="1"/>
    <col min="17" max="17" width="13.83203125" style="8" customWidth="1"/>
    <col min="18" max="18" width="6.16015625" style="5" hidden="1" customWidth="1"/>
    <col min="19" max="19" width="13.83203125" style="8" customWidth="1"/>
    <col min="20" max="20" width="6.16015625" style="5" hidden="1" customWidth="1"/>
    <col min="21" max="21" width="14" style="8" customWidth="1"/>
    <col min="22" max="22" width="6.16015625" style="5" hidden="1" customWidth="1"/>
    <col min="23" max="23" width="14.16015625" style="8" customWidth="1"/>
    <col min="24" max="24" width="6.16015625" style="5" hidden="1" customWidth="1"/>
    <col min="25" max="25" width="14.5" style="8" customWidth="1"/>
    <col min="26" max="26" width="6.16015625" style="5" hidden="1" customWidth="1"/>
    <col min="27" max="27" width="14" style="8" customWidth="1"/>
    <col min="28" max="28" width="6.16015625" style="5" hidden="1" customWidth="1"/>
    <col min="29" max="29" width="14.5" style="8" customWidth="1"/>
    <col min="30" max="30" width="6.16015625" style="5" hidden="1" customWidth="1"/>
    <col min="31" max="31" width="13.66015625" style="8" customWidth="1"/>
    <col min="32" max="32" width="6.16015625" style="5" hidden="1" customWidth="1"/>
    <col min="33" max="33" width="14.66015625" style="8" customWidth="1"/>
    <col min="34" max="34" width="6.16015625" style="5" hidden="1" customWidth="1"/>
    <col min="35" max="35" width="14" style="8" customWidth="1"/>
    <col min="36" max="36" width="21.33203125" style="8" customWidth="1"/>
    <col min="37" max="16384" width="10.66015625" style="8" customWidth="1"/>
  </cols>
  <sheetData>
    <row r="1" spans="7:34" ht="3" customHeight="1">
      <c r="G1" s="9"/>
      <c r="H1" s="10"/>
      <c r="J1" s="10"/>
      <c r="L1" s="10"/>
      <c r="N1" s="10"/>
      <c r="P1" s="10"/>
      <c r="R1" s="10"/>
      <c r="S1" s="9"/>
      <c r="T1" s="10"/>
      <c r="V1" s="10"/>
      <c r="X1" s="10"/>
      <c r="Z1" s="10"/>
      <c r="AB1" s="10"/>
      <c r="AD1" s="10"/>
      <c r="AF1" s="10"/>
      <c r="AH1" s="10"/>
    </row>
    <row r="2" spans="1:35" ht="18.75" customHeight="1">
      <c r="A2" s="72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3:35" ht="3" customHeight="1">
      <c r="C3" s="11"/>
      <c r="I3" s="1"/>
      <c r="O3" s="2"/>
      <c r="U3" s="1"/>
      <c r="AA3" s="2"/>
      <c r="AC3" s="1"/>
      <c r="AG3" s="2"/>
      <c r="AI3" s="1"/>
    </row>
    <row r="4" spans="1:35" s="15" customFormat="1" ht="12.75" customHeight="1">
      <c r="A4" s="71" t="s">
        <v>0</v>
      </c>
      <c r="B4" s="77" t="s">
        <v>1</v>
      </c>
      <c r="C4" s="79" t="s">
        <v>10</v>
      </c>
      <c r="D4" s="83"/>
      <c r="E4" s="13" t="s">
        <v>9</v>
      </c>
      <c r="F4" s="77" t="s">
        <v>33</v>
      </c>
      <c r="G4" s="79" t="s">
        <v>11</v>
      </c>
      <c r="H4" s="80"/>
      <c r="I4" s="81"/>
      <c r="J4" s="82"/>
      <c r="K4" s="83"/>
      <c r="L4" s="14"/>
      <c r="M4" s="79" t="s">
        <v>11</v>
      </c>
      <c r="N4" s="80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2"/>
      <c r="AI4" s="83"/>
    </row>
    <row r="5" spans="1:35" s="15" customFormat="1" ht="29.25" customHeight="1">
      <c r="A5" s="71"/>
      <c r="B5" s="78"/>
      <c r="C5" s="12">
        <v>2008</v>
      </c>
      <c r="D5" s="12">
        <v>2009</v>
      </c>
      <c r="E5" s="12" t="s">
        <v>32</v>
      </c>
      <c r="F5" s="84"/>
      <c r="G5" s="17">
        <v>2011</v>
      </c>
      <c r="H5" s="18"/>
      <c r="I5" s="16">
        <v>2012</v>
      </c>
      <c r="J5" s="18"/>
      <c r="K5" s="16">
        <v>2013</v>
      </c>
      <c r="L5" s="18"/>
      <c r="M5" s="16">
        <v>2014</v>
      </c>
      <c r="N5" s="18"/>
      <c r="O5" s="16">
        <v>2015</v>
      </c>
      <c r="P5" s="18"/>
      <c r="Q5" s="17">
        <v>2016</v>
      </c>
      <c r="R5" s="18"/>
      <c r="S5" s="16">
        <v>2017</v>
      </c>
      <c r="T5" s="18"/>
      <c r="U5" s="16">
        <v>2018</v>
      </c>
      <c r="V5" s="18"/>
      <c r="W5" s="16">
        <v>2019</v>
      </c>
      <c r="X5" s="18"/>
      <c r="Y5" s="16">
        <v>2020</v>
      </c>
      <c r="Z5" s="18"/>
      <c r="AA5" s="16">
        <v>2021</v>
      </c>
      <c r="AB5" s="18"/>
      <c r="AC5" s="16">
        <v>2022</v>
      </c>
      <c r="AD5" s="18"/>
      <c r="AE5" s="16">
        <v>2023</v>
      </c>
      <c r="AF5" s="18"/>
      <c r="AG5" s="16">
        <v>2024</v>
      </c>
      <c r="AH5" s="18"/>
      <c r="AI5" s="16">
        <v>2025</v>
      </c>
    </row>
    <row r="6" spans="1:35" s="22" customFormat="1" ht="9.75">
      <c r="A6" s="19">
        <v>1</v>
      </c>
      <c r="B6" s="19">
        <v>2</v>
      </c>
      <c r="C6" s="19">
        <v>5</v>
      </c>
      <c r="D6" s="20">
        <v>6</v>
      </c>
      <c r="E6" s="20">
        <v>7</v>
      </c>
      <c r="F6" s="20">
        <v>7</v>
      </c>
      <c r="G6" s="19">
        <v>8</v>
      </c>
      <c r="H6" s="21"/>
      <c r="I6" s="20">
        <v>9</v>
      </c>
      <c r="J6" s="21"/>
      <c r="K6" s="20">
        <v>10</v>
      </c>
      <c r="L6" s="21"/>
      <c r="M6" s="19">
        <v>11</v>
      </c>
      <c r="N6" s="21"/>
      <c r="O6" s="20">
        <v>12</v>
      </c>
      <c r="P6" s="21"/>
      <c r="Q6" s="20">
        <v>13</v>
      </c>
      <c r="R6" s="21"/>
      <c r="S6" s="19">
        <v>14</v>
      </c>
      <c r="T6" s="21"/>
      <c r="U6" s="20">
        <v>15</v>
      </c>
      <c r="V6" s="21"/>
      <c r="W6" s="20">
        <v>16</v>
      </c>
      <c r="X6" s="21"/>
      <c r="Y6" s="19">
        <v>17</v>
      </c>
      <c r="Z6" s="21"/>
      <c r="AA6" s="20">
        <v>18</v>
      </c>
      <c r="AB6" s="21"/>
      <c r="AC6" s="20">
        <v>19</v>
      </c>
      <c r="AD6" s="21"/>
      <c r="AE6" s="19">
        <v>20</v>
      </c>
      <c r="AF6" s="21"/>
      <c r="AG6" s="20">
        <v>21</v>
      </c>
      <c r="AH6" s="21"/>
      <c r="AI6" s="19">
        <v>22</v>
      </c>
    </row>
    <row r="7" spans="1:35" s="15" customFormat="1" ht="30" customHeight="1">
      <c r="A7" s="23">
        <v>1</v>
      </c>
      <c r="B7" s="24" t="s">
        <v>8</v>
      </c>
      <c r="C7" s="25">
        <f>SUM(C8:C9)</f>
        <v>14576686.55</v>
      </c>
      <c r="D7" s="25">
        <f>SUM(D8:D9)</f>
        <v>14204784.719999999</v>
      </c>
      <c r="E7" s="3">
        <f>SUM(E8:E9)</f>
        <v>17482492.33</v>
      </c>
      <c r="F7" s="3">
        <f>SUM(F8:F9)</f>
        <v>15069370.18</v>
      </c>
      <c r="G7" s="26">
        <f>SUM(G8:G9)</f>
        <v>16340485.03</v>
      </c>
      <c r="H7" s="27"/>
      <c r="I7" s="28">
        <f>SUM(I8:I9)</f>
        <v>15289916</v>
      </c>
      <c r="J7" s="27"/>
      <c r="K7" s="28">
        <f>SUM(K8:K9)</f>
        <v>15769199</v>
      </c>
      <c r="L7" s="27"/>
      <c r="M7" s="29">
        <f>SUM(M8:M9)</f>
        <v>15760798</v>
      </c>
      <c r="N7" s="27"/>
      <c r="O7" s="28">
        <f>SUM(O8:O9)</f>
        <v>16391230</v>
      </c>
      <c r="P7" s="27"/>
      <c r="Q7" s="28">
        <f>SUM(Q8:Q9)</f>
        <v>16997706</v>
      </c>
      <c r="R7" s="27"/>
      <c r="S7" s="28">
        <f>SUM(S8:S9)</f>
        <v>17592626</v>
      </c>
      <c r="T7" s="27"/>
      <c r="U7" s="28">
        <f>SUM(U8:U9)</f>
        <v>18190775</v>
      </c>
      <c r="V7" s="27"/>
      <c r="W7" s="28">
        <f>SUM(W8:W9)</f>
        <v>18791071</v>
      </c>
      <c r="X7" s="27"/>
      <c r="Y7" s="28">
        <f>SUM(Y8:Y9)</f>
        <v>19392385</v>
      </c>
      <c r="Z7" s="27"/>
      <c r="AA7" s="28">
        <f>SUM(AA8:AA9)</f>
        <v>19993549</v>
      </c>
      <c r="AB7" s="27"/>
      <c r="AC7" s="28">
        <f>SUM(AC8:AC9)</f>
        <v>20593355</v>
      </c>
      <c r="AD7" s="27"/>
      <c r="AE7" s="28">
        <f>SUM(AE8:AE9)</f>
        <v>21211156</v>
      </c>
      <c r="AF7" s="27"/>
      <c r="AG7" s="28">
        <f>SUM(AG8:AG9)</f>
        <v>21847491</v>
      </c>
      <c r="AH7" s="27"/>
      <c r="AI7" s="28">
        <f>SUM(AI8:AI9)</f>
        <v>22502916</v>
      </c>
    </row>
    <row r="8" spans="1:35" s="35" customFormat="1" ht="16.5" customHeight="1">
      <c r="A8" s="30" t="s">
        <v>16</v>
      </c>
      <c r="B8" s="31" t="s">
        <v>6</v>
      </c>
      <c r="C8" s="32">
        <v>13152686.25</v>
      </c>
      <c r="D8" s="32">
        <v>13022938.51</v>
      </c>
      <c r="E8" s="4">
        <v>13712548.33</v>
      </c>
      <c r="F8" s="4">
        <v>13828861.12</v>
      </c>
      <c r="G8" s="33">
        <v>14065350.03</v>
      </c>
      <c r="H8" s="34">
        <v>1.04</v>
      </c>
      <c r="I8" s="6">
        <f>ROUND(G8*H8,0)</f>
        <v>14627964</v>
      </c>
      <c r="J8" s="34">
        <v>1.037</v>
      </c>
      <c r="K8" s="6">
        <f>ROUND(I8*J8,0)</f>
        <v>15169199</v>
      </c>
      <c r="L8" s="34">
        <v>1.039</v>
      </c>
      <c r="M8" s="6">
        <f>ROUND(K8*L8,0)</f>
        <v>15760798</v>
      </c>
      <c r="N8" s="34">
        <v>1.04</v>
      </c>
      <c r="O8" s="6">
        <f>ROUND(M8*N8,0)</f>
        <v>16391230</v>
      </c>
      <c r="P8" s="34">
        <v>1.037</v>
      </c>
      <c r="Q8" s="6">
        <f>ROUND(O8*P8,0)</f>
        <v>16997706</v>
      </c>
      <c r="R8" s="34">
        <v>1.035</v>
      </c>
      <c r="S8" s="6">
        <f>ROUND(Q8*R8,0)</f>
        <v>17592626</v>
      </c>
      <c r="T8" s="34">
        <v>1.034</v>
      </c>
      <c r="U8" s="6">
        <f>ROUND(S8*T8,0)</f>
        <v>18190775</v>
      </c>
      <c r="V8" s="34">
        <v>1.033</v>
      </c>
      <c r="W8" s="6">
        <f>ROUND(U8*V8,0)</f>
        <v>18791071</v>
      </c>
      <c r="X8" s="34">
        <v>1.032</v>
      </c>
      <c r="Y8" s="6">
        <f>ROUND(W8*X8,0)</f>
        <v>19392385</v>
      </c>
      <c r="Z8" s="34">
        <v>1.031</v>
      </c>
      <c r="AA8" s="6">
        <f>ROUND(Y8*Z8,0)</f>
        <v>19993549</v>
      </c>
      <c r="AB8" s="34">
        <v>1.03</v>
      </c>
      <c r="AC8" s="6">
        <f>ROUND(AA8*AB8,0)</f>
        <v>20593355</v>
      </c>
      <c r="AD8" s="34">
        <v>1.03</v>
      </c>
      <c r="AE8" s="6">
        <f>ROUND(AC8*AD8,0)</f>
        <v>21211156</v>
      </c>
      <c r="AF8" s="34">
        <v>1.03</v>
      </c>
      <c r="AG8" s="6">
        <f>ROUND(AE8*AF8,0)</f>
        <v>21847491</v>
      </c>
      <c r="AH8" s="34">
        <v>1.03</v>
      </c>
      <c r="AI8" s="6">
        <f>ROUND(AG8*AH8,0)</f>
        <v>22502916</v>
      </c>
    </row>
    <row r="9" spans="1:35" s="35" customFormat="1" ht="16.5" customHeight="1">
      <c r="A9" s="30" t="s">
        <v>17</v>
      </c>
      <c r="B9" s="31" t="s">
        <v>12</v>
      </c>
      <c r="C9" s="32">
        <v>1424000.3</v>
      </c>
      <c r="D9" s="32">
        <v>1181846.21</v>
      </c>
      <c r="E9" s="4">
        <v>3769944</v>
      </c>
      <c r="F9" s="4">
        <v>1240509.06</v>
      </c>
      <c r="G9" s="33">
        <v>2275135</v>
      </c>
      <c r="H9" s="34"/>
      <c r="I9" s="36">
        <f>500000+161952</f>
        <v>661952</v>
      </c>
      <c r="J9" s="34"/>
      <c r="K9" s="36">
        <v>600000</v>
      </c>
      <c r="L9" s="34"/>
      <c r="M9" s="6"/>
      <c r="N9" s="34"/>
      <c r="O9" s="36">
        <f>O10</f>
        <v>0</v>
      </c>
      <c r="P9" s="34"/>
      <c r="Q9" s="36"/>
      <c r="R9" s="34"/>
      <c r="S9" s="6"/>
      <c r="T9" s="34"/>
      <c r="U9" s="6"/>
      <c r="V9" s="34"/>
      <c r="W9" s="6"/>
      <c r="X9" s="34"/>
      <c r="Y9" s="6"/>
      <c r="Z9" s="34"/>
      <c r="AA9" s="6"/>
      <c r="AB9" s="34"/>
      <c r="AC9" s="6"/>
      <c r="AD9" s="34"/>
      <c r="AE9" s="6"/>
      <c r="AF9" s="34"/>
      <c r="AG9" s="6"/>
      <c r="AH9" s="34"/>
      <c r="AI9" s="6"/>
    </row>
    <row r="10" spans="1:35" s="35" customFormat="1" ht="16.5" customHeight="1">
      <c r="A10" s="30" t="s">
        <v>18</v>
      </c>
      <c r="B10" s="37" t="s">
        <v>13</v>
      </c>
      <c r="C10" s="32">
        <v>410991.3</v>
      </c>
      <c r="D10" s="32">
        <f>38932+623973.44</f>
        <v>662905.44</v>
      </c>
      <c r="E10" s="4">
        <f>1044000-24000</f>
        <v>1020000</v>
      </c>
      <c r="F10" s="4">
        <v>1027133.93</v>
      </c>
      <c r="G10" s="33">
        <f>943500+5000+50000-180000</f>
        <v>818500</v>
      </c>
      <c r="H10" s="38"/>
      <c r="I10" s="6">
        <v>500000</v>
      </c>
      <c r="J10" s="38"/>
      <c r="K10" s="36">
        <f>K9</f>
        <v>600000</v>
      </c>
      <c r="L10" s="38"/>
      <c r="M10" s="6"/>
      <c r="N10" s="38"/>
      <c r="O10" s="6"/>
      <c r="P10" s="38"/>
      <c r="Q10" s="36"/>
      <c r="R10" s="38"/>
      <c r="S10" s="6"/>
      <c r="T10" s="38"/>
      <c r="U10" s="6"/>
      <c r="V10" s="38"/>
      <c r="W10" s="6"/>
      <c r="X10" s="38"/>
      <c r="Y10" s="6"/>
      <c r="Z10" s="38"/>
      <c r="AA10" s="6"/>
      <c r="AB10" s="38"/>
      <c r="AC10" s="6"/>
      <c r="AD10" s="38"/>
      <c r="AE10" s="6"/>
      <c r="AF10" s="38"/>
      <c r="AG10" s="6"/>
      <c r="AH10" s="38"/>
      <c r="AI10" s="6"/>
    </row>
    <row r="11" spans="1:35" s="39" customFormat="1" ht="42" customHeight="1">
      <c r="A11" s="23" t="s">
        <v>5</v>
      </c>
      <c r="B11" s="24" t="s">
        <v>20</v>
      </c>
      <c r="C11" s="25">
        <v>11407802.09</v>
      </c>
      <c r="D11" s="25">
        <v>13016610.77</v>
      </c>
      <c r="E11" s="3">
        <v>13364948.33</v>
      </c>
      <c r="F11" s="3">
        <v>13459824.19</v>
      </c>
      <c r="G11" s="26">
        <f>13843060.86-G24</f>
        <v>13480326.82</v>
      </c>
      <c r="H11" s="34">
        <v>1.028</v>
      </c>
      <c r="I11" s="28">
        <f>ROUND(G11*H11,0)</f>
        <v>13857776</v>
      </c>
      <c r="J11" s="34">
        <v>1.025</v>
      </c>
      <c r="K11" s="28">
        <f>ROUND(I11*J11,0)</f>
        <v>14204220</v>
      </c>
      <c r="L11" s="34">
        <v>1.025</v>
      </c>
      <c r="M11" s="28">
        <f>ROUND(K11*L11,0)</f>
        <v>14559326</v>
      </c>
      <c r="N11" s="34">
        <v>1.025</v>
      </c>
      <c r="O11" s="28">
        <f>ROUND(M11*N11,0)</f>
        <v>14923309</v>
      </c>
      <c r="P11" s="34">
        <v>1.025</v>
      </c>
      <c r="Q11" s="28">
        <f>ROUND(O11*P11,0)</f>
        <v>15296392</v>
      </c>
      <c r="R11" s="34">
        <v>1.025</v>
      </c>
      <c r="S11" s="28">
        <f>ROUND(Q11*R11,0)</f>
        <v>15678802</v>
      </c>
      <c r="T11" s="34">
        <v>1.024</v>
      </c>
      <c r="U11" s="28">
        <f>ROUND(S11*T11,0)</f>
        <v>16055093</v>
      </c>
      <c r="V11" s="34">
        <v>1.024</v>
      </c>
      <c r="W11" s="28">
        <f>ROUND(U11*V11,0)</f>
        <v>16440415</v>
      </c>
      <c r="X11" s="34">
        <v>1.024</v>
      </c>
      <c r="Y11" s="28">
        <f>ROUND(W11*X11,0)</f>
        <v>16834985</v>
      </c>
      <c r="Z11" s="34">
        <v>1.024</v>
      </c>
      <c r="AA11" s="28">
        <f>ROUND(Y11*Z11,0)</f>
        <v>17239025</v>
      </c>
      <c r="AB11" s="34">
        <v>1.024</v>
      </c>
      <c r="AC11" s="28">
        <f>ROUND(AA11*AB11,0)</f>
        <v>17652762</v>
      </c>
      <c r="AD11" s="34">
        <v>1.023</v>
      </c>
      <c r="AE11" s="28">
        <f>ROUND(AC11*AD11,0)</f>
        <v>18058776</v>
      </c>
      <c r="AF11" s="34">
        <v>1.023</v>
      </c>
      <c r="AG11" s="28">
        <f>ROUND(AE11*AF11,0)</f>
        <v>18474128</v>
      </c>
      <c r="AH11" s="34">
        <v>1.023</v>
      </c>
      <c r="AI11" s="28">
        <f>ROUND(AG11*AH11,0)</f>
        <v>18899033</v>
      </c>
    </row>
    <row r="12" spans="1:35" s="35" customFormat="1" ht="16.5" customHeight="1">
      <c r="A12" s="30" t="s">
        <v>21</v>
      </c>
      <c r="B12" s="31" t="s">
        <v>22</v>
      </c>
      <c r="C12" s="32">
        <v>4849073.63</v>
      </c>
      <c r="D12" s="32">
        <v>5301747.92</v>
      </c>
      <c r="E12" s="4">
        <v>5560197.04</v>
      </c>
      <c r="F12" s="4">
        <v>5578881.5</v>
      </c>
      <c r="G12" s="33">
        <v>5633889.33</v>
      </c>
      <c r="H12" s="34">
        <v>1.028</v>
      </c>
      <c r="I12" s="36">
        <f>ROUND(G12*H12,0)</f>
        <v>5791638</v>
      </c>
      <c r="J12" s="34">
        <v>1.025</v>
      </c>
      <c r="K12" s="36">
        <f>ROUND(I12*J12,0)</f>
        <v>5936429</v>
      </c>
      <c r="L12" s="34">
        <v>1.025</v>
      </c>
      <c r="M12" s="36">
        <f>ROUND(K12*L12,0)</f>
        <v>6084840</v>
      </c>
      <c r="N12" s="34">
        <v>1.025</v>
      </c>
      <c r="O12" s="36">
        <f>ROUND(M12*N12,0)</f>
        <v>6236961</v>
      </c>
      <c r="P12" s="34">
        <v>1.025</v>
      </c>
      <c r="Q12" s="36">
        <f>ROUND(O12*P12,0)</f>
        <v>6392885</v>
      </c>
      <c r="R12" s="34">
        <v>1.025</v>
      </c>
      <c r="S12" s="36">
        <f>ROUND(Q12*R12,0)</f>
        <v>6552707</v>
      </c>
      <c r="T12" s="34">
        <v>1.024</v>
      </c>
      <c r="U12" s="36">
        <f>ROUND(S12*T12,0)</f>
        <v>6709972</v>
      </c>
      <c r="V12" s="34">
        <v>1.024</v>
      </c>
      <c r="W12" s="36">
        <f>ROUND(U12*V12,0)</f>
        <v>6871011</v>
      </c>
      <c r="X12" s="34">
        <v>1.024</v>
      </c>
      <c r="Y12" s="36">
        <f>ROUND(W12*X12,0)</f>
        <v>7035915</v>
      </c>
      <c r="Z12" s="34">
        <v>1.024</v>
      </c>
      <c r="AA12" s="36">
        <f>ROUND(Y12*Z12,0)</f>
        <v>7204777</v>
      </c>
      <c r="AB12" s="34">
        <v>1.024</v>
      </c>
      <c r="AC12" s="36">
        <f>ROUND(AA12*AB12,0)</f>
        <v>7377692</v>
      </c>
      <c r="AD12" s="34">
        <v>1.023</v>
      </c>
      <c r="AE12" s="36">
        <f>ROUND(AC12*AD12,0)</f>
        <v>7547379</v>
      </c>
      <c r="AF12" s="34">
        <v>1.023</v>
      </c>
      <c r="AG12" s="36">
        <f>ROUND(AE12*AF12,0)</f>
        <v>7720969</v>
      </c>
      <c r="AH12" s="34">
        <v>1.023</v>
      </c>
      <c r="AI12" s="36">
        <f>ROUND(AG12*AH12,0)</f>
        <v>7898551</v>
      </c>
    </row>
    <row r="13" spans="1:35" s="35" customFormat="1" ht="15.75" customHeight="1">
      <c r="A13" s="30" t="s">
        <v>23</v>
      </c>
      <c r="B13" s="31" t="s">
        <v>27</v>
      </c>
      <c r="C13" s="32">
        <v>3109744.13</v>
      </c>
      <c r="D13" s="32">
        <v>3520029.23</v>
      </c>
      <c r="E13" s="4">
        <v>3823318.43</v>
      </c>
      <c r="F13" s="4">
        <v>3860216.79</v>
      </c>
      <c r="G13" s="33">
        <v>3383752.57</v>
      </c>
      <c r="H13" s="34">
        <v>1.028</v>
      </c>
      <c r="I13" s="36">
        <f>ROUND(G13*H13,0)</f>
        <v>3478498</v>
      </c>
      <c r="J13" s="34">
        <v>1.025</v>
      </c>
      <c r="K13" s="36">
        <f>ROUND(I13*J13,0)</f>
        <v>3565460</v>
      </c>
      <c r="L13" s="34">
        <v>1.025</v>
      </c>
      <c r="M13" s="36">
        <f>ROUND(K13*L13,0)</f>
        <v>3654597</v>
      </c>
      <c r="N13" s="34">
        <v>1.025</v>
      </c>
      <c r="O13" s="36">
        <f>ROUND(M13*N13,0)</f>
        <v>3745962</v>
      </c>
      <c r="P13" s="34">
        <v>1.025</v>
      </c>
      <c r="Q13" s="36">
        <f>ROUND(O13*P13,0)</f>
        <v>3839611</v>
      </c>
      <c r="R13" s="34">
        <v>1.025</v>
      </c>
      <c r="S13" s="36">
        <f>ROUND(Q13*R13,0)</f>
        <v>3935601</v>
      </c>
      <c r="T13" s="34">
        <v>1.024</v>
      </c>
      <c r="U13" s="36">
        <f>ROUND(S13*T13,0)</f>
        <v>4030055</v>
      </c>
      <c r="V13" s="34">
        <v>1.024</v>
      </c>
      <c r="W13" s="36">
        <f>ROUND(U13*V13,0)</f>
        <v>4126776</v>
      </c>
      <c r="X13" s="34">
        <v>1.024</v>
      </c>
      <c r="Y13" s="36">
        <f>ROUND(W13*X13,0)</f>
        <v>4225819</v>
      </c>
      <c r="Z13" s="34">
        <v>1.024</v>
      </c>
      <c r="AA13" s="36">
        <f>ROUND(Y13*Z13,0)</f>
        <v>4327239</v>
      </c>
      <c r="AB13" s="34">
        <v>1.024</v>
      </c>
      <c r="AC13" s="36">
        <f>ROUND(AA13*AB13,0)</f>
        <v>4431093</v>
      </c>
      <c r="AD13" s="34">
        <v>1.023</v>
      </c>
      <c r="AE13" s="36">
        <f>ROUND(AC13*AD13,0)</f>
        <v>4533008</v>
      </c>
      <c r="AF13" s="34">
        <v>1.023</v>
      </c>
      <c r="AG13" s="36">
        <f>ROUND(AE13*AF13,0)</f>
        <v>4637267</v>
      </c>
      <c r="AH13" s="34">
        <v>1.023</v>
      </c>
      <c r="AI13" s="36">
        <f>ROUND(AG13*AH13,0)</f>
        <v>4743924</v>
      </c>
    </row>
    <row r="14" spans="1:35" s="35" customFormat="1" ht="16.5" customHeight="1">
      <c r="A14" s="30" t="s">
        <v>24</v>
      </c>
      <c r="B14" s="31" t="s">
        <v>28</v>
      </c>
      <c r="C14" s="32"/>
      <c r="D14" s="32"/>
      <c r="E14" s="4"/>
      <c r="F14" s="4"/>
      <c r="G14" s="33"/>
      <c r="H14" s="38"/>
      <c r="I14" s="6"/>
      <c r="J14" s="38"/>
      <c r="K14" s="6"/>
      <c r="L14" s="38"/>
      <c r="M14" s="6"/>
      <c r="N14" s="38"/>
      <c r="O14" s="6"/>
      <c r="P14" s="38"/>
      <c r="Q14" s="6"/>
      <c r="R14" s="38"/>
      <c r="S14" s="6"/>
      <c r="T14" s="38"/>
      <c r="U14" s="6"/>
      <c r="V14" s="38"/>
      <c r="W14" s="6"/>
      <c r="X14" s="38"/>
      <c r="Y14" s="6"/>
      <c r="Z14" s="38"/>
      <c r="AA14" s="6"/>
      <c r="AB14" s="38"/>
      <c r="AC14" s="6"/>
      <c r="AD14" s="38"/>
      <c r="AE14" s="6"/>
      <c r="AF14" s="38"/>
      <c r="AG14" s="6"/>
      <c r="AH14" s="38"/>
      <c r="AI14" s="6"/>
    </row>
    <row r="15" spans="1:35" s="35" customFormat="1" ht="28.5" customHeight="1">
      <c r="A15" s="30" t="s">
        <v>25</v>
      </c>
      <c r="B15" s="31" t="s">
        <v>29</v>
      </c>
      <c r="C15" s="32"/>
      <c r="D15" s="32"/>
      <c r="E15" s="4"/>
      <c r="F15" s="4"/>
      <c r="G15" s="33"/>
      <c r="H15" s="38"/>
      <c r="I15" s="6"/>
      <c r="J15" s="38"/>
      <c r="K15" s="6"/>
      <c r="L15" s="38"/>
      <c r="M15" s="6"/>
      <c r="N15" s="38"/>
      <c r="O15" s="6"/>
      <c r="P15" s="38"/>
      <c r="Q15" s="36"/>
      <c r="R15" s="38"/>
      <c r="S15" s="6"/>
      <c r="T15" s="38"/>
      <c r="U15" s="6"/>
      <c r="V15" s="38"/>
      <c r="W15" s="6"/>
      <c r="X15" s="38"/>
      <c r="Y15" s="6"/>
      <c r="Z15" s="38"/>
      <c r="AA15" s="6"/>
      <c r="AB15" s="38"/>
      <c r="AC15" s="6"/>
      <c r="AD15" s="38"/>
      <c r="AE15" s="6"/>
      <c r="AF15" s="38"/>
      <c r="AG15" s="6"/>
      <c r="AH15" s="38"/>
      <c r="AI15" s="6"/>
    </row>
    <row r="16" spans="1:35" s="35" customFormat="1" ht="19.5" customHeight="1">
      <c r="A16" s="30" t="s">
        <v>26</v>
      </c>
      <c r="B16" s="31" t="s">
        <v>30</v>
      </c>
      <c r="C16" s="32"/>
      <c r="D16" s="32"/>
      <c r="E16" s="4"/>
      <c r="F16" s="4"/>
      <c r="G16" s="33"/>
      <c r="H16" s="38"/>
      <c r="I16" s="6"/>
      <c r="J16" s="38"/>
      <c r="K16" s="6"/>
      <c r="L16" s="38"/>
      <c r="M16" s="6"/>
      <c r="N16" s="38"/>
      <c r="O16" s="6"/>
      <c r="P16" s="38"/>
      <c r="Q16" s="36"/>
      <c r="R16" s="38"/>
      <c r="S16" s="6"/>
      <c r="T16" s="38"/>
      <c r="U16" s="6"/>
      <c r="V16" s="38"/>
      <c r="W16" s="6"/>
      <c r="X16" s="38"/>
      <c r="Y16" s="6"/>
      <c r="Z16" s="38"/>
      <c r="AA16" s="6"/>
      <c r="AB16" s="38"/>
      <c r="AC16" s="6"/>
      <c r="AD16" s="38"/>
      <c r="AE16" s="6"/>
      <c r="AF16" s="38"/>
      <c r="AG16" s="6"/>
      <c r="AH16" s="38"/>
      <c r="AI16" s="6"/>
    </row>
    <row r="17" spans="1:35" s="44" customFormat="1" ht="27" customHeight="1">
      <c r="A17" s="23">
        <v>3</v>
      </c>
      <c r="B17" s="24" t="s">
        <v>31</v>
      </c>
      <c r="C17" s="40">
        <f>C7-C11</f>
        <v>3168884.460000001</v>
      </c>
      <c r="D17" s="40">
        <f>D7-D11</f>
        <v>1188173.9499999993</v>
      </c>
      <c r="E17" s="40">
        <f>E7-E11</f>
        <v>4117543.999999998</v>
      </c>
      <c r="F17" s="40">
        <f>F7-F11</f>
        <v>1609545.9900000002</v>
      </c>
      <c r="G17" s="40">
        <f>G7-G11</f>
        <v>2860158.209999999</v>
      </c>
      <c r="H17" s="41"/>
      <c r="I17" s="42">
        <f>I7-I11</f>
        <v>1432140</v>
      </c>
      <c r="J17" s="41"/>
      <c r="K17" s="42">
        <f>K7-K11</f>
        <v>1564979</v>
      </c>
      <c r="L17" s="41"/>
      <c r="M17" s="42">
        <f>M7-M11</f>
        <v>1201472</v>
      </c>
      <c r="N17" s="41"/>
      <c r="O17" s="42">
        <f>O7-O11</f>
        <v>1467921</v>
      </c>
      <c r="P17" s="41"/>
      <c r="Q17" s="42">
        <f>Q7-Q11</f>
        <v>1701314</v>
      </c>
      <c r="R17" s="41"/>
      <c r="S17" s="42">
        <f>S7-S11</f>
        <v>1913824</v>
      </c>
      <c r="T17" s="41"/>
      <c r="U17" s="42">
        <f>U7-U11</f>
        <v>2135682</v>
      </c>
      <c r="V17" s="41"/>
      <c r="W17" s="42">
        <f>W7-W11</f>
        <v>2350656</v>
      </c>
      <c r="X17" s="41"/>
      <c r="Y17" s="42">
        <f>Y7-Y11</f>
        <v>2557400</v>
      </c>
      <c r="Z17" s="41"/>
      <c r="AA17" s="42">
        <f>AA7-AA11</f>
        <v>2754524</v>
      </c>
      <c r="AB17" s="41"/>
      <c r="AC17" s="42">
        <f>AC7-AC11</f>
        <v>2940593</v>
      </c>
      <c r="AD17" s="41"/>
      <c r="AE17" s="42">
        <f>AE7-AE11</f>
        <v>3152380</v>
      </c>
      <c r="AF17" s="41"/>
      <c r="AG17" s="42">
        <f>AG7-AG11</f>
        <v>3373363</v>
      </c>
      <c r="AH17" s="41"/>
      <c r="AI17" s="43">
        <f>AI7-AI11</f>
        <v>3603883</v>
      </c>
    </row>
    <row r="18" spans="1:35" s="44" customFormat="1" ht="28.5" customHeight="1">
      <c r="A18" s="23">
        <v>4</v>
      </c>
      <c r="B18" s="24" t="s">
        <v>66</v>
      </c>
      <c r="C18" s="42">
        <v>51461</v>
      </c>
      <c r="D18" s="42">
        <v>2165749</v>
      </c>
      <c r="E18" s="42">
        <v>352300</v>
      </c>
      <c r="F18" s="40">
        <v>352317.15</v>
      </c>
      <c r="G18" s="40">
        <v>754960.83</v>
      </c>
      <c r="H18" s="41"/>
      <c r="I18" s="42"/>
      <c r="J18" s="41"/>
      <c r="K18" s="42">
        <f>I34</f>
        <v>43151</v>
      </c>
      <c r="L18" s="41"/>
      <c r="M18" s="42">
        <f>K34</f>
        <v>261543</v>
      </c>
      <c r="N18" s="41"/>
      <c r="O18" s="42">
        <f>M34</f>
        <v>194183</v>
      </c>
      <c r="P18" s="41"/>
      <c r="Q18" s="42">
        <f>O34</f>
        <v>214072</v>
      </c>
      <c r="R18" s="41"/>
      <c r="S18" s="42">
        <f>Q34</f>
        <v>155160</v>
      </c>
      <c r="T18" s="41"/>
      <c r="U18" s="42">
        <f>S34</f>
        <v>79407</v>
      </c>
      <c r="V18" s="41"/>
      <c r="W18" s="42">
        <f>U34</f>
        <v>257836</v>
      </c>
      <c r="X18" s="41"/>
      <c r="Y18" s="42">
        <f>W34</f>
        <v>283418</v>
      </c>
      <c r="Z18" s="41"/>
      <c r="AA18" s="42">
        <f>Y34</f>
        <v>147121</v>
      </c>
      <c r="AB18" s="41"/>
      <c r="AC18" s="42">
        <f>AA34</f>
        <v>33914</v>
      </c>
      <c r="AD18" s="41"/>
      <c r="AE18" s="42">
        <f>AC34</f>
        <v>120462</v>
      </c>
      <c r="AF18" s="41"/>
      <c r="AG18" s="42">
        <f>AE34</f>
        <v>133206</v>
      </c>
      <c r="AH18" s="41"/>
      <c r="AI18" s="43">
        <f>AG34</f>
        <v>180529</v>
      </c>
    </row>
    <row r="19" spans="1:35" s="35" customFormat="1" ht="42.75" customHeight="1">
      <c r="A19" s="30" t="s">
        <v>34</v>
      </c>
      <c r="B19" s="31" t="s">
        <v>35</v>
      </c>
      <c r="C19" s="45"/>
      <c r="D19" s="45">
        <v>1337429</v>
      </c>
      <c r="E19" s="6">
        <v>19460</v>
      </c>
      <c r="F19" s="4"/>
      <c r="G19" s="33">
        <v>3158.83</v>
      </c>
      <c r="H19" s="38"/>
      <c r="I19" s="6"/>
      <c r="J19" s="38"/>
      <c r="K19" s="6"/>
      <c r="L19" s="38"/>
      <c r="M19" s="6"/>
      <c r="N19" s="38"/>
      <c r="O19" s="6"/>
      <c r="P19" s="38"/>
      <c r="Q19" s="6"/>
      <c r="R19" s="38"/>
      <c r="S19" s="6"/>
      <c r="T19" s="38"/>
      <c r="U19" s="6"/>
      <c r="V19" s="38"/>
      <c r="W19" s="6"/>
      <c r="X19" s="38"/>
      <c r="Y19" s="6"/>
      <c r="Z19" s="38"/>
      <c r="AA19" s="6"/>
      <c r="AB19" s="38"/>
      <c r="AC19" s="6"/>
      <c r="AD19" s="38"/>
      <c r="AE19" s="6"/>
      <c r="AF19" s="38"/>
      <c r="AG19" s="6"/>
      <c r="AH19" s="38"/>
      <c r="AI19" s="6"/>
    </row>
    <row r="20" spans="1:35" s="44" customFormat="1" ht="21" customHeight="1">
      <c r="A20" s="23">
        <v>5</v>
      </c>
      <c r="B20" s="24" t="s">
        <v>36</v>
      </c>
      <c r="C20" s="42">
        <v>0</v>
      </c>
      <c r="D20" s="42">
        <v>0</v>
      </c>
      <c r="E20" s="42">
        <v>0</v>
      </c>
      <c r="F20" s="42">
        <v>0</v>
      </c>
      <c r="G20" s="40">
        <v>0</v>
      </c>
      <c r="H20" s="41"/>
      <c r="I20" s="42">
        <v>0</v>
      </c>
      <c r="J20" s="41"/>
      <c r="K20" s="42">
        <v>0</v>
      </c>
      <c r="L20" s="41"/>
      <c r="M20" s="42">
        <v>0</v>
      </c>
      <c r="N20" s="41"/>
      <c r="O20" s="42">
        <v>0</v>
      </c>
      <c r="P20" s="41"/>
      <c r="Q20" s="42">
        <f>Q10-Q14</f>
        <v>0</v>
      </c>
      <c r="R20" s="41"/>
      <c r="S20" s="42">
        <f>S10-S14</f>
        <v>0</v>
      </c>
      <c r="T20" s="41"/>
      <c r="U20" s="42">
        <f>U10-U14</f>
        <v>0</v>
      </c>
      <c r="V20" s="41"/>
      <c r="W20" s="42">
        <f>W10-W14</f>
        <v>0</v>
      </c>
      <c r="X20" s="41"/>
      <c r="Y20" s="42">
        <f>Y10-Y14</f>
        <v>0</v>
      </c>
      <c r="Z20" s="41"/>
      <c r="AA20" s="42">
        <f>AA10-AA14</f>
        <v>0</v>
      </c>
      <c r="AB20" s="41"/>
      <c r="AC20" s="42">
        <f>AC10-AC14</f>
        <v>0</v>
      </c>
      <c r="AD20" s="41"/>
      <c r="AE20" s="42">
        <f>AE10-AE14</f>
        <v>0</v>
      </c>
      <c r="AF20" s="41"/>
      <c r="AG20" s="42">
        <f>AG10-AG14</f>
        <v>0</v>
      </c>
      <c r="AH20" s="41"/>
      <c r="AI20" s="43">
        <f>AI10-AI14</f>
        <v>0</v>
      </c>
    </row>
    <row r="21" spans="1:35" s="44" customFormat="1" ht="24" customHeight="1">
      <c r="A21" s="23">
        <v>6</v>
      </c>
      <c r="B21" s="24" t="s">
        <v>37</v>
      </c>
      <c r="C21" s="42">
        <f>C17+C18+C20</f>
        <v>3220345.460000001</v>
      </c>
      <c r="D21" s="42">
        <f>D17+D18+D20</f>
        <v>3353922.9499999993</v>
      </c>
      <c r="E21" s="42">
        <f>E17+E18+E20</f>
        <v>4469843.999999998</v>
      </c>
      <c r="F21" s="42">
        <f>F17+F18+F20</f>
        <v>1961863.1400000001</v>
      </c>
      <c r="G21" s="40">
        <f>G17+G18+G20</f>
        <v>3615119.039999999</v>
      </c>
      <c r="H21" s="41"/>
      <c r="I21" s="42">
        <f>I17+I18+I20</f>
        <v>1432140</v>
      </c>
      <c r="J21" s="41"/>
      <c r="K21" s="42">
        <f>K17+K18+K20</f>
        <v>1608130</v>
      </c>
      <c r="L21" s="41"/>
      <c r="M21" s="42">
        <f>M17+M18+M20</f>
        <v>1463015</v>
      </c>
      <c r="N21" s="41"/>
      <c r="O21" s="42">
        <f>O17+O18+O20</f>
        <v>1662104</v>
      </c>
      <c r="P21" s="41"/>
      <c r="Q21" s="42">
        <f>Q17+Q18+Q20</f>
        <v>1915386</v>
      </c>
      <c r="R21" s="41"/>
      <c r="S21" s="42">
        <f>S17+S18+S20</f>
        <v>2068984</v>
      </c>
      <c r="T21" s="41"/>
      <c r="U21" s="42">
        <f>U17+U18+U20</f>
        <v>2215089</v>
      </c>
      <c r="V21" s="41"/>
      <c r="W21" s="42">
        <f>W17+W18+W20</f>
        <v>2608492</v>
      </c>
      <c r="X21" s="41"/>
      <c r="Y21" s="42">
        <f>Y17+Y18+Y20</f>
        <v>2840818</v>
      </c>
      <c r="Z21" s="41"/>
      <c r="AA21" s="42">
        <f>AA17+AA18+AA20</f>
        <v>2901645</v>
      </c>
      <c r="AB21" s="41"/>
      <c r="AC21" s="42">
        <f>AC17+AC18+AC20</f>
        <v>2974507</v>
      </c>
      <c r="AD21" s="41"/>
      <c r="AE21" s="42">
        <f>AE17+AE18+AE20</f>
        <v>3272842</v>
      </c>
      <c r="AF21" s="41"/>
      <c r="AG21" s="42">
        <f>AG17+AG18+AG20</f>
        <v>3506569</v>
      </c>
      <c r="AH21" s="41"/>
      <c r="AI21" s="43">
        <f>AI17+AI18+AI20</f>
        <v>3784412</v>
      </c>
    </row>
    <row r="22" spans="1:36" s="15" customFormat="1" ht="18.75" customHeight="1">
      <c r="A22" s="23">
        <v>7</v>
      </c>
      <c r="B22" s="46" t="s">
        <v>42</v>
      </c>
      <c r="C22" s="25">
        <f>SUM(C23:C24)</f>
        <v>753703.66</v>
      </c>
      <c r="D22" s="25">
        <f>SUM(D23:D24)</f>
        <v>1053403.73</v>
      </c>
      <c r="E22" s="25">
        <f>SUM(E23:E24)</f>
        <v>1655165</v>
      </c>
      <c r="F22" s="47">
        <f>SUM(F23:F24)</f>
        <v>1579393.18</v>
      </c>
      <c r="G22" s="25">
        <f>SUM(G23:G24)</f>
        <v>2596336.04</v>
      </c>
      <c r="H22" s="48"/>
      <c r="I22" s="47">
        <f>SUM(I23:I24)</f>
        <v>1188989</v>
      </c>
      <c r="J22" s="48"/>
      <c r="K22" s="47">
        <f>SUM(K23:K24)</f>
        <v>1146587</v>
      </c>
      <c r="L22" s="48"/>
      <c r="M22" s="47">
        <f>SUM(M23:M24)</f>
        <v>1068832</v>
      </c>
      <c r="N22" s="48"/>
      <c r="O22" s="47">
        <f>SUM(O23:O24)</f>
        <v>1048032</v>
      </c>
      <c r="P22" s="48"/>
      <c r="Q22" s="47">
        <f>SUM(Q23:Q24)</f>
        <v>560226</v>
      </c>
      <c r="R22" s="48"/>
      <c r="S22" s="47">
        <f>SUM(S23:S24)</f>
        <v>789577</v>
      </c>
      <c r="T22" s="48"/>
      <c r="U22" s="47">
        <f>SUM(U23:U24)</f>
        <v>757253</v>
      </c>
      <c r="V22" s="48"/>
      <c r="W22" s="47">
        <f>SUM(W23:W24)</f>
        <v>725074</v>
      </c>
      <c r="X22" s="48"/>
      <c r="Y22" s="47">
        <f>SUM(Y23:Y24)</f>
        <v>693697</v>
      </c>
      <c r="Z22" s="48"/>
      <c r="AA22" s="47">
        <f>SUM(AA23:AA24)</f>
        <v>367731</v>
      </c>
      <c r="AB22" s="48"/>
      <c r="AC22" s="47">
        <f>SUM(AC23:AC24)</f>
        <v>354045</v>
      </c>
      <c r="AD22" s="48"/>
      <c r="AE22" s="47">
        <f>SUM(AE23:AE24)</f>
        <v>339636</v>
      </c>
      <c r="AF22" s="48"/>
      <c r="AG22" s="47">
        <f>SUM(AG23:AG24)</f>
        <v>326040</v>
      </c>
      <c r="AH22" s="48"/>
      <c r="AI22" s="29">
        <f>SUM(AI23:AI24)</f>
        <v>310699</v>
      </c>
      <c r="AJ22" s="49"/>
    </row>
    <row r="23" spans="1:35" s="50" customFormat="1" ht="25.5">
      <c r="A23" s="30" t="s">
        <v>38</v>
      </c>
      <c r="B23" s="31" t="s">
        <v>40</v>
      </c>
      <c r="C23" s="32">
        <v>634740</v>
      </c>
      <c r="D23" s="32">
        <v>828320</v>
      </c>
      <c r="E23" s="4">
        <v>1332840</v>
      </c>
      <c r="F23" s="6">
        <v>1296200</v>
      </c>
      <c r="G23" s="33">
        <v>2233602</v>
      </c>
      <c r="H23" s="34"/>
      <c r="I23" s="36">
        <v>840480</v>
      </c>
      <c r="J23" s="34"/>
      <c r="K23" s="36">
        <f>I23</f>
        <v>840480</v>
      </c>
      <c r="L23" s="34"/>
      <c r="M23" s="36">
        <v>803840</v>
      </c>
      <c r="N23" s="34"/>
      <c r="O23" s="36">
        <v>828840</v>
      </c>
      <c r="P23" s="34"/>
      <c r="Q23" s="36">
        <v>370000</v>
      </c>
      <c r="R23" s="34"/>
      <c r="S23" s="36">
        <v>600000</v>
      </c>
      <c r="T23" s="34"/>
      <c r="U23" s="36">
        <f>S23</f>
        <v>600000</v>
      </c>
      <c r="V23" s="34"/>
      <c r="W23" s="36">
        <f>U23</f>
        <v>600000</v>
      </c>
      <c r="X23" s="34"/>
      <c r="Y23" s="36">
        <f>W23</f>
        <v>600000</v>
      </c>
      <c r="Z23" s="34"/>
      <c r="AA23" s="36">
        <v>300000</v>
      </c>
      <c r="AB23" s="34"/>
      <c r="AC23" s="36">
        <f>AA23</f>
        <v>300000</v>
      </c>
      <c r="AD23" s="34"/>
      <c r="AE23" s="36">
        <f>AC23</f>
        <v>300000</v>
      </c>
      <c r="AF23" s="34"/>
      <c r="AG23" s="36">
        <f>AE23</f>
        <v>300000</v>
      </c>
      <c r="AH23" s="34"/>
      <c r="AI23" s="36">
        <f>AG23</f>
        <v>300000</v>
      </c>
    </row>
    <row r="24" spans="1:35" s="50" customFormat="1" ht="18.75" customHeight="1">
      <c r="A24" s="30" t="s">
        <v>39</v>
      </c>
      <c r="B24" s="31" t="s">
        <v>41</v>
      </c>
      <c r="C24" s="32">
        <v>118963.66</v>
      </c>
      <c r="D24" s="32">
        <v>225083.73</v>
      </c>
      <c r="E24" s="4">
        <v>322325</v>
      </c>
      <c r="F24" s="33">
        <v>283193.18</v>
      </c>
      <c r="G24" s="33">
        <v>362734.04</v>
      </c>
      <c r="H24" s="38"/>
      <c r="I24" s="6">
        <f>314483+31952+585-2000+3489</f>
        <v>348509</v>
      </c>
      <c r="J24" s="38"/>
      <c r="K24" s="6">
        <f>275292+29000+309-1000+2506</f>
        <v>306107</v>
      </c>
      <c r="L24" s="38"/>
      <c r="M24" s="6">
        <f>236101+27000+353+1538</f>
        <v>264992</v>
      </c>
      <c r="N24" s="38"/>
      <c r="O24" s="6">
        <f>191685+25000+649+1858</f>
        <v>219192</v>
      </c>
      <c r="P24" s="38"/>
      <c r="Q24" s="36">
        <f>165674+23000+552+1000</f>
        <v>190226</v>
      </c>
      <c r="R24" s="38"/>
      <c r="S24" s="36">
        <f>168060+20000+139+1378</f>
        <v>189577</v>
      </c>
      <c r="T24" s="38"/>
      <c r="U24" s="36">
        <f>138140+18000+50+1063</f>
        <v>157253</v>
      </c>
      <c r="V24" s="38"/>
      <c r="W24" s="36">
        <f>108220+16000+83+771</f>
        <v>125074</v>
      </c>
      <c r="X24" s="38"/>
      <c r="Y24" s="36">
        <f>78300+14000+922+475</f>
        <v>93697</v>
      </c>
      <c r="Z24" s="38"/>
      <c r="AA24" s="36">
        <f>55130+12000+355+246</f>
        <v>67731</v>
      </c>
      <c r="AB24" s="38"/>
      <c r="AC24" s="36">
        <f>43210+10000+721+114</f>
        <v>54045</v>
      </c>
      <c r="AD24" s="38"/>
      <c r="AE24" s="36">
        <f>31290+8000+183+163</f>
        <v>39636</v>
      </c>
      <c r="AF24" s="38"/>
      <c r="AG24" s="36">
        <f>19370+6000+562+108</f>
        <v>26040</v>
      </c>
      <c r="AH24" s="38"/>
      <c r="AI24" s="36">
        <f>7450+3000+190+59</f>
        <v>10699</v>
      </c>
    </row>
    <row r="25" spans="1:36" s="15" customFormat="1" ht="25.5">
      <c r="A25" s="23">
        <v>8</v>
      </c>
      <c r="B25" s="46" t="s">
        <v>43</v>
      </c>
      <c r="C25" s="47">
        <v>0</v>
      </c>
      <c r="D25" s="47">
        <v>0</v>
      </c>
      <c r="E25" s="47">
        <v>0</v>
      </c>
      <c r="F25" s="47">
        <v>0</v>
      </c>
      <c r="G25" s="25">
        <v>0</v>
      </c>
      <c r="H25" s="48"/>
      <c r="I25" s="47">
        <v>0</v>
      </c>
      <c r="J25" s="48"/>
      <c r="K25" s="47">
        <v>0</v>
      </c>
      <c r="L25" s="48"/>
      <c r="M25" s="47">
        <v>0</v>
      </c>
      <c r="N25" s="48"/>
      <c r="O25" s="47">
        <v>0</v>
      </c>
      <c r="P25" s="48"/>
      <c r="Q25" s="47">
        <v>0</v>
      </c>
      <c r="R25" s="48"/>
      <c r="S25" s="47">
        <v>0</v>
      </c>
      <c r="T25" s="48"/>
      <c r="U25" s="47">
        <v>0</v>
      </c>
      <c r="V25" s="48"/>
      <c r="W25" s="47">
        <v>0</v>
      </c>
      <c r="X25" s="48"/>
      <c r="Y25" s="47">
        <v>0</v>
      </c>
      <c r="Z25" s="48"/>
      <c r="AA25" s="47">
        <v>0</v>
      </c>
      <c r="AB25" s="48"/>
      <c r="AC25" s="47">
        <v>0</v>
      </c>
      <c r="AD25" s="48"/>
      <c r="AE25" s="47">
        <v>0</v>
      </c>
      <c r="AF25" s="48"/>
      <c r="AG25" s="47">
        <v>0</v>
      </c>
      <c r="AH25" s="48"/>
      <c r="AI25" s="29">
        <v>0</v>
      </c>
      <c r="AJ25" s="49"/>
    </row>
    <row r="26" spans="1:35" s="44" customFormat="1" ht="27" customHeight="1">
      <c r="A26" s="23">
        <v>9</v>
      </c>
      <c r="B26" s="24" t="s">
        <v>44</v>
      </c>
      <c r="C26" s="40">
        <f>C21-C22-C25</f>
        <v>2466641.8000000007</v>
      </c>
      <c r="D26" s="40">
        <f>D21-D22-D25</f>
        <v>2300519.2199999993</v>
      </c>
      <c r="E26" s="40">
        <f>E21-E22-E25</f>
        <v>2814678.999999998</v>
      </c>
      <c r="F26" s="40">
        <f>F21-F22-F25</f>
        <v>382469.9600000002</v>
      </c>
      <c r="G26" s="40">
        <f>G21-G22-G25</f>
        <v>1018782.9999999991</v>
      </c>
      <c r="H26" s="41"/>
      <c r="I26" s="42">
        <f>I21-I22-I25</f>
        <v>243151</v>
      </c>
      <c r="J26" s="41"/>
      <c r="K26" s="42">
        <f>K21-K22-K25</f>
        <v>461543</v>
      </c>
      <c r="L26" s="41"/>
      <c r="M26" s="42">
        <f>M21-M22-M25</f>
        <v>394183</v>
      </c>
      <c r="N26" s="41"/>
      <c r="O26" s="42">
        <f>O21-O22-O25</f>
        <v>614072</v>
      </c>
      <c r="P26" s="41"/>
      <c r="Q26" s="42">
        <f>Q21-Q22-Q25</f>
        <v>1355160</v>
      </c>
      <c r="R26" s="41"/>
      <c r="S26" s="42">
        <f>S21-S22-S25</f>
        <v>1279407</v>
      </c>
      <c r="T26" s="41"/>
      <c r="U26" s="42">
        <f>U21-U22-U25</f>
        <v>1457836</v>
      </c>
      <c r="V26" s="41"/>
      <c r="W26" s="42">
        <f>W21-W22-W25</f>
        <v>1883418</v>
      </c>
      <c r="X26" s="41"/>
      <c r="Y26" s="42">
        <f>Y21-Y22-Y25</f>
        <v>2147121</v>
      </c>
      <c r="Z26" s="41"/>
      <c r="AA26" s="42">
        <f>AA21-AA22-AA25</f>
        <v>2533914</v>
      </c>
      <c r="AB26" s="41"/>
      <c r="AC26" s="42">
        <f>AC21-AC22-AC25</f>
        <v>2620462</v>
      </c>
      <c r="AD26" s="41"/>
      <c r="AE26" s="42">
        <f>AE21-AE22-AE25</f>
        <v>2933206</v>
      </c>
      <c r="AF26" s="41"/>
      <c r="AG26" s="42">
        <f>AG21-AG22-AG25</f>
        <v>3180529</v>
      </c>
      <c r="AH26" s="41"/>
      <c r="AI26" s="43">
        <f>AI21-AI22-AI25</f>
        <v>3473713</v>
      </c>
    </row>
    <row r="27" spans="1:35" s="44" customFormat="1" ht="27" customHeight="1">
      <c r="A27" s="23">
        <v>10</v>
      </c>
      <c r="B27" s="24" t="s">
        <v>45</v>
      </c>
      <c r="C27" s="40">
        <v>2744481.58</v>
      </c>
      <c r="D27" s="40">
        <v>3373548.68</v>
      </c>
      <c r="E27" s="40">
        <v>7986279</v>
      </c>
      <c r="F27" s="40">
        <v>3820071.04</v>
      </c>
      <c r="G27" s="40">
        <v>2982183</v>
      </c>
      <c r="H27" s="41"/>
      <c r="I27" s="42">
        <v>200000</v>
      </c>
      <c r="J27" s="41"/>
      <c r="K27" s="42">
        <v>200000</v>
      </c>
      <c r="L27" s="41"/>
      <c r="M27" s="42">
        <v>200000</v>
      </c>
      <c r="N27" s="41"/>
      <c r="O27" s="42">
        <v>400000</v>
      </c>
      <c r="P27" s="41"/>
      <c r="Q27" s="42">
        <v>1200000</v>
      </c>
      <c r="R27" s="41"/>
      <c r="S27" s="42">
        <v>1200000</v>
      </c>
      <c r="T27" s="41"/>
      <c r="U27" s="42">
        <v>1200000</v>
      </c>
      <c r="V27" s="41"/>
      <c r="W27" s="42">
        <v>1600000</v>
      </c>
      <c r="X27" s="41"/>
      <c r="Y27" s="42">
        <v>2000000</v>
      </c>
      <c r="Z27" s="41"/>
      <c r="AA27" s="42">
        <v>2500000</v>
      </c>
      <c r="AB27" s="41"/>
      <c r="AC27" s="42">
        <v>2500000</v>
      </c>
      <c r="AD27" s="41"/>
      <c r="AE27" s="42">
        <v>2800000</v>
      </c>
      <c r="AF27" s="41"/>
      <c r="AG27" s="42">
        <v>3000000</v>
      </c>
      <c r="AH27" s="41"/>
      <c r="AI27" s="43">
        <v>3473713</v>
      </c>
    </row>
    <row r="28" spans="1:35" s="50" customFormat="1" ht="21.75" customHeight="1">
      <c r="A28" s="30" t="s">
        <v>46</v>
      </c>
      <c r="B28" s="31" t="s">
        <v>47</v>
      </c>
      <c r="C28" s="32"/>
      <c r="D28" s="32"/>
      <c r="E28" s="4"/>
      <c r="F28" s="4"/>
      <c r="G28" s="33">
        <v>1803046</v>
      </c>
      <c r="H28" s="34"/>
      <c r="I28" s="33"/>
      <c r="J28" s="34"/>
      <c r="K28" s="33"/>
      <c r="L28" s="34"/>
      <c r="M28" s="4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</row>
    <row r="29" spans="1:35" s="50" customFormat="1" ht="21.75" customHeight="1">
      <c r="A29" s="23">
        <v>11</v>
      </c>
      <c r="B29" s="46" t="s">
        <v>48</v>
      </c>
      <c r="C29" s="25">
        <f>SUM(C30:C33)</f>
        <v>2000000</v>
      </c>
      <c r="D29" s="25">
        <f>SUM(D30:D33)</f>
        <v>1585400</v>
      </c>
      <c r="E29" s="25">
        <f>SUM(E30:E33)</f>
        <v>5191600</v>
      </c>
      <c r="F29" s="25">
        <f>SUM(F30:F33)</f>
        <v>4192561.91</v>
      </c>
      <c r="G29" s="25">
        <f>2618360.83-G18+100000</f>
        <v>1963400</v>
      </c>
      <c r="H29" s="48"/>
      <c r="I29" s="47">
        <f>SUM(I30:I33)</f>
        <v>0</v>
      </c>
      <c r="J29" s="48"/>
      <c r="K29" s="47">
        <f>SUM(K30:K33)</f>
        <v>0</v>
      </c>
      <c r="L29" s="48"/>
      <c r="M29" s="47">
        <f>SUM(M30:M33)</f>
        <v>0</v>
      </c>
      <c r="N29" s="48"/>
      <c r="O29" s="47">
        <f>SUM(O30:O33)</f>
        <v>0</v>
      </c>
      <c r="P29" s="48"/>
      <c r="Q29" s="47">
        <f>SUM(Q30:Q33)</f>
        <v>0</v>
      </c>
      <c r="R29" s="48"/>
      <c r="S29" s="47">
        <f>SUM(S30:S33)</f>
        <v>0</v>
      </c>
      <c r="T29" s="48"/>
      <c r="U29" s="47">
        <f>SUM(U30:U33)</f>
        <v>0</v>
      </c>
      <c r="V29" s="48"/>
      <c r="W29" s="47">
        <f>SUM(W30:W33)</f>
        <v>0</v>
      </c>
      <c r="X29" s="48"/>
      <c r="Y29" s="47">
        <f>SUM(Y30:Y33)</f>
        <v>0</v>
      </c>
      <c r="Z29" s="48"/>
      <c r="AA29" s="47">
        <f>SUM(AA30:AA33)</f>
        <v>0</v>
      </c>
      <c r="AB29" s="48"/>
      <c r="AC29" s="47">
        <f>SUM(AC30:AC33)</f>
        <v>0</v>
      </c>
      <c r="AD29" s="48"/>
      <c r="AE29" s="47">
        <f>SUM(AE30:AE33)</f>
        <v>0</v>
      </c>
      <c r="AF29" s="48"/>
      <c r="AG29" s="47">
        <f>SUM(AG30:AG33)</f>
        <v>0</v>
      </c>
      <c r="AH29" s="48"/>
      <c r="AI29" s="29">
        <f>SUM(AI30:AI33)</f>
        <v>0</v>
      </c>
    </row>
    <row r="30" spans="1:35" s="50" customFormat="1" ht="18" customHeight="1" hidden="1">
      <c r="A30" s="30"/>
      <c r="B30" s="31" t="s">
        <v>2</v>
      </c>
      <c r="C30" s="32"/>
      <c r="D30" s="32">
        <v>85400</v>
      </c>
      <c r="E30" s="4">
        <v>91600</v>
      </c>
      <c r="F30" s="4"/>
      <c r="G30" s="33"/>
      <c r="H30" s="34"/>
      <c r="I30" s="36"/>
      <c r="J30" s="34"/>
      <c r="K30" s="36"/>
      <c r="L30" s="34"/>
      <c r="M30" s="6"/>
      <c r="N30" s="34"/>
      <c r="O30" s="36"/>
      <c r="P30" s="34"/>
      <c r="Q30" s="36"/>
      <c r="R30" s="34"/>
      <c r="S30" s="36"/>
      <c r="T30" s="34"/>
      <c r="U30" s="36"/>
      <c r="V30" s="34"/>
      <c r="W30" s="36"/>
      <c r="X30" s="34"/>
      <c r="Y30" s="36"/>
      <c r="Z30" s="34"/>
      <c r="AA30" s="36"/>
      <c r="AB30" s="34"/>
      <c r="AC30" s="36"/>
      <c r="AD30" s="34"/>
      <c r="AE30" s="36"/>
      <c r="AF30" s="34"/>
      <c r="AG30" s="36"/>
      <c r="AH30" s="34"/>
      <c r="AI30" s="36"/>
    </row>
    <row r="31" spans="1:35" s="50" customFormat="1" ht="18" customHeight="1" hidden="1">
      <c r="A31" s="30"/>
      <c r="B31" s="31" t="s">
        <v>3</v>
      </c>
      <c r="C31" s="32"/>
      <c r="D31" s="32">
        <v>500000</v>
      </c>
      <c r="E31" s="4">
        <f>3480000</f>
        <v>3480000</v>
      </c>
      <c r="F31" s="4">
        <v>2300000</v>
      </c>
      <c r="G31" s="33"/>
      <c r="H31" s="34"/>
      <c r="I31" s="36"/>
      <c r="J31" s="34"/>
      <c r="K31" s="36"/>
      <c r="L31" s="34"/>
      <c r="M31" s="6"/>
      <c r="N31" s="34"/>
      <c r="O31" s="36"/>
      <c r="P31" s="34"/>
      <c r="Q31" s="36"/>
      <c r="R31" s="34"/>
      <c r="S31" s="36"/>
      <c r="T31" s="34"/>
      <c r="U31" s="36"/>
      <c r="V31" s="34"/>
      <c r="W31" s="36"/>
      <c r="X31" s="34"/>
      <c r="Y31" s="36"/>
      <c r="Z31" s="34"/>
      <c r="AA31" s="36"/>
      <c r="AB31" s="34"/>
      <c r="AC31" s="36"/>
      <c r="AD31" s="34"/>
      <c r="AE31" s="36"/>
      <c r="AF31" s="34"/>
      <c r="AG31" s="36"/>
      <c r="AH31" s="34"/>
      <c r="AI31" s="36"/>
    </row>
    <row r="32" spans="1:35" s="50" customFormat="1" ht="18" customHeight="1" hidden="1">
      <c r="A32" s="30"/>
      <c r="B32" s="31" t="s">
        <v>4</v>
      </c>
      <c r="C32" s="32">
        <v>2000000</v>
      </c>
      <c r="D32" s="32">
        <v>1000000</v>
      </c>
      <c r="E32" s="4"/>
      <c r="F32" s="4"/>
      <c r="G32" s="33"/>
      <c r="H32" s="34"/>
      <c r="I32" s="36"/>
      <c r="J32" s="34"/>
      <c r="K32" s="36"/>
      <c r="L32" s="34"/>
      <c r="M32" s="6"/>
      <c r="N32" s="34"/>
      <c r="O32" s="36"/>
      <c r="P32" s="34"/>
      <c r="Q32" s="36"/>
      <c r="R32" s="34"/>
      <c r="S32" s="36"/>
      <c r="T32" s="34"/>
      <c r="U32" s="36"/>
      <c r="V32" s="34"/>
      <c r="W32" s="36"/>
      <c r="X32" s="34"/>
      <c r="Y32" s="36"/>
      <c r="Z32" s="34"/>
      <c r="AA32" s="36"/>
      <c r="AB32" s="34"/>
      <c r="AC32" s="36"/>
      <c r="AD32" s="34"/>
      <c r="AE32" s="36"/>
      <c r="AF32" s="34"/>
      <c r="AG32" s="36"/>
      <c r="AH32" s="34"/>
      <c r="AI32" s="36"/>
    </row>
    <row r="33" spans="1:35" s="50" customFormat="1" ht="43.5" customHeight="1" hidden="1">
      <c r="A33" s="30"/>
      <c r="B33" s="31" t="s">
        <v>14</v>
      </c>
      <c r="C33" s="51"/>
      <c r="D33" s="51"/>
      <c r="E33" s="4">
        <f>1620000</f>
        <v>1620000</v>
      </c>
      <c r="F33" s="4">
        <f>503119.91+1389442</f>
        <v>1892561.91</v>
      </c>
      <c r="G33" s="33">
        <f>153680+230558+467048</f>
        <v>851286</v>
      </c>
      <c r="H33" s="38"/>
      <c r="I33" s="6"/>
      <c r="J33" s="38"/>
      <c r="K33" s="6"/>
      <c r="L33" s="38"/>
      <c r="M33" s="6"/>
      <c r="N33" s="38"/>
      <c r="O33" s="6"/>
      <c r="P33" s="38"/>
      <c r="Q33" s="6"/>
      <c r="R33" s="38"/>
      <c r="S33" s="6"/>
      <c r="T33" s="38"/>
      <c r="U33" s="6"/>
      <c r="V33" s="38"/>
      <c r="W33" s="6"/>
      <c r="X33" s="38"/>
      <c r="Y33" s="6"/>
      <c r="Z33" s="38"/>
      <c r="AA33" s="6"/>
      <c r="AB33" s="38"/>
      <c r="AC33" s="6"/>
      <c r="AD33" s="38"/>
      <c r="AE33" s="6"/>
      <c r="AF33" s="38"/>
      <c r="AG33" s="6"/>
      <c r="AH33" s="38"/>
      <c r="AI33" s="6"/>
    </row>
    <row r="34" spans="1:35" s="44" customFormat="1" ht="18" customHeight="1">
      <c r="A34" s="23">
        <v>12</v>
      </c>
      <c r="B34" s="24" t="s">
        <v>49</v>
      </c>
      <c r="C34" s="40">
        <f>C26-C27+C29</f>
        <v>1722160.2200000007</v>
      </c>
      <c r="D34" s="40">
        <f>D26-D27+D29</f>
        <v>512370.5399999991</v>
      </c>
      <c r="E34" s="40">
        <f>E26-E27+E29</f>
        <v>19999.999999998137</v>
      </c>
      <c r="F34" s="40">
        <f>F26-F27+F29</f>
        <v>754960.8300000001</v>
      </c>
      <c r="G34" s="40">
        <f>G26-G27+G29</f>
        <v>0</v>
      </c>
      <c r="H34" s="41"/>
      <c r="I34" s="42">
        <f>I26-I27+I29</f>
        <v>43151</v>
      </c>
      <c r="J34" s="41"/>
      <c r="K34" s="42">
        <f>K26-K27+K29</f>
        <v>261543</v>
      </c>
      <c r="L34" s="41"/>
      <c r="M34" s="42">
        <f>M26-M27+M29</f>
        <v>194183</v>
      </c>
      <c r="N34" s="41"/>
      <c r="O34" s="42">
        <f>O26-O27+O29</f>
        <v>214072</v>
      </c>
      <c r="P34" s="41"/>
      <c r="Q34" s="42">
        <f>Q26-Q27+Q29</f>
        <v>155160</v>
      </c>
      <c r="R34" s="41"/>
      <c r="S34" s="42">
        <f>S26-S27+S29</f>
        <v>79407</v>
      </c>
      <c r="T34" s="41"/>
      <c r="U34" s="42">
        <f>U26-U27+U29</f>
        <v>257836</v>
      </c>
      <c r="V34" s="41"/>
      <c r="W34" s="42">
        <f>W26-W27+W29</f>
        <v>283418</v>
      </c>
      <c r="X34" s="41"/>
      <c r="Y34" s="42">
        <f>Y26-Y27+Y29</f>
        <v>147121</v>
      </c>
      <c r="Z34" s="41"/>
      <c r="AA34" s="42">
        <f>AA26-AA27+AA29</f>
        <v>33914</v>
      </c>
      <c r="AB34" s="41"/>
      <c r="AC34" s="42">
        <f>AC26-AC27+AC29</f>
        <v>120462</v>
      </c>
      <c r="AD34" s="41"/>
      <c r="AE34" s="42">
        <f>AE26-AE27+AE29</f>
        <v>133206</v>
      </c>
      <c r="AF34" s="41"/>
      <c r="AG34" s="42">
        <f>AG26-AG27+AG29</f>
        <v>180529</v>
      </c>
      <c r="AH34" s="41"/>
      <c r="AI34" s="43">
        <f>AI26-AI27+AI29</f>
        <v>0</v>
      </c>
    </row>
    <row r="35" spans="1:36" s="15" customFormat="1" ht="18.75" customHeight="1">
      <c r="A35" s="23">
        <v>13</v>
      </c>
      <c r="B35" s="46" t="s">
        <v>52</v>
      </c>
      <c r="C35" s="25">
        <v>4200400</v>
      </c>
      <c r="D35" s="25">
        <v>4957480</v>
      </c>
      <c r="E35" s="25">
        <f>D35+E29-E23</f>
        <v>8816240</v>
      </c>
      <c r="F35" s="25">
        <f>D35+F29-F23</f>
        <v>7853841.91</v>
      </c>
      <c r="G35" s="25">
        <f>F35+G29-G23</f>
        <v>7583639.91</v>
      </c>
      <c r="H35" s="48"/>
      <c r="I35" s="47">
        <f>G35-I23</f>
        <v>6743159.91</v>
      </c>
      <c r="J35" s="48"/>
      <c r="K35" s="47">
        <f>I35-K23</f>
        <v>5902679.91</v>
      </c>
      <c r="L35" s="48"/>
      <c r="M35" s="47">
        <f>K35-M23</f>
        <v>5098839.91</v>
      </c>
      <c r="N35" s="48"/>
      <c r="O35" s="47">
        <f>M35-O23</f>
        <v>4269999.91</v>
      </c>
      <c r="P35" s="48"/>
      <c r="Q35" s="47">
        <f>O35-Q23</f>
        <v>3899999.91</v>
      </c>
      <c r="R35" s="48"/>
      <c r="S35" s="47">
        <f>Q35-S23</f>
        <v>3299999.91</v>
      </c>
      <c r="T35" s="48"/>
      <c r="U35" s="47">
        <f>S35-U23</f>
        <v>2699999.91</v>
      </c>
      <c r="V35" s="48"/>
      <c r="W35" s="47">
        <f>U35-W23</f>
        <v>2099999.91</v>
      </c>
      <c r="X35" s="48"/>
      <c r="Y35" s="47">
        <f>W35-Y23</f>
        <v>1499999.9100000001</v>
      </c>
      <c r="Z35" s="48"/>
      <c r="AA35" s="47">
        <f>Y35-AA23</f>
        <v>1199999.9100000001</v>
      </c>
      <c r="AB35" s="48"/>
      <c r="AC35" s="47">
        <f>AA35-AC23</f>
        <v>899999.9100000001</v>
      </c>
      <c r="AD35" s="48"/>
      <c r="AE35" s="47">
        <f>AC35-AE23</f>
        <v>599999.9100000001</v>
      </c>
      <c r="AF35" s="48"/>
      <c r="AG35" s="47">
        <f>AE35-AG23</f>
        <v>299999.91000000015</v>
      </c>
      <c r="AH35" s="48"/>
      <c r="AI35" s="29">
        <f>AG35-AI23</f>
        <v>-0.08999999985098839</v>
      </c>
      <c r="AJ35" s="49"/>
    </row>
    <row r="36" spans="1:35" s="50" customFormat="1" ht="25.5">
      <c r="A36" s="30" t="s">
        <v>50</v>
      </c>
      <c r="B36" s="31" t="s">
        <v>53</v>
      </c>
      <c r="C36" s="32"/>
      <c r="D36" s="32"/>
      <c r="E36" s="4">
        <v>1620000</v>
      </c>
      <c r="F36" s="4">
        <f>F33</f>
        <v>1892561.91</v>
      </c>
      <c r="G36" s="33"/>
      <c r="H36" s="34"/>
      <c r="I36" s="36"/>
      <c r="J36" s="34"/>
      <c r="K36" s="36"/>
      <c r="L36" s="34"/>
      <c r="M36" s="6"/>
      <c r="N36" s="34"/>
      <c r="O36" s="6"/>
      <c r="P36" s="34"/>
      <c r="Q36" s="36"/>
      <c r="R36" s="34"/>
      <c r="S36" s="36"/>
      <c r="T36" s="34"/>
      <c r="U36" s="36"/>
      <c r="V36" s="34"/>
      <c r="W36" s="36"/>
      <c r="X36" s="34"/>
      <c r="Y36" s="36"/>
      <c r="Z36" s="34"/>
      <c r="AA36" s="36"/>
      <c r="AB36" s="34"/>
      <c r="AC36" s="36"/>
      <c r="AD36" s="34"/>
      <c r="AE36" s="36"/>
      <c r="AF36" s="34"/>
      <c r="AG36" s="36"/>
      <c r="AH36" s="34"/>
      <c r="AI36" s="6"/>
    </row>
    <row r="37" spans="1:35" s="50" customFormat="1" ht="30" customHeight="1">
      <c r="A37" s="30" t="s">
        <v>51</v>
      </c>
      <c r="B37" s="31" t="s">
        <v>54</v>
      </c>
      <c r="C37" s="32"/>
      <c r="D37" s="32"/>
      <c r="E37" s="4">
        <v>12730</v>
      </c>
      <c r="F37" s="4">
        <v>2401.61</v>
      </c>
      <c r="G37" s="33">
        <f>56700+1123848</f>
        <v>1180548</v>
      </c>
      <c r="H37" s="38"/>
      <c r="I37" s="6"/>
      <c r="J37" s="38"/>
      <c r="K37" s="6"/>
      <c r="L37" s="38"/>
      <c r="M37" s="6"/>
      <c r="N37" s="38"/>
      <c r="O37" s="6"/>
      <c r="P37" s="38"/>
      <c r="Q37" s="36"/>
      <c r="R37" s="38"/>
      <c r="S37" s="36"/>
      <c r="T37" s="38"/>
      <c r="U37" s="36"/>
      <c r="V37" s="38"/>
      <c r="W37" s="36"/>
      <c r="X37" s="38"/>
      <c r="Y37" s="36"/>
      <c r="Z37" s="38"/>
      <c r="AA37" s="36"/>
      <c r="AB37" s="38"/>
      <c r="AC37" s="36"/>
      <c r="AD37" s="38"/>
      <c r="AE37" s="36"/>
      <c r="AF37" s="38"/>
      <c r="AG37" s="36"/>
      <c r="AH37" s="38"/>
      <c r="AI37" s="6"/>
    </row>
    <row r="38" spans="1:35" s="44" customFormat="1" ht="51" customHeight="1">
      <c r="A38" s="23">
        <v>14</v>
      </c>
      <c r="B38" s="24" t="s">
        <v>73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1"/>
      <c r="I38" s="40">
        <v>0</v>
      </c>
      <c r="J38" s="41"/>
      <c r="K38" s="40">
        <v>0</v>
      </c>
      <c r="L38" s="41"/>
      <c r="M38" s="40">
        <v>0</v>
      </c>
      <c r="N38" s="41"/>
      <c r="O38" s="40">
        <v>0</v>
      </c>
      <c r="P38" s="41"/>
      <c r="Q38" s="40">
        <v>0</v>
      </c>
      <c r="R38" s="41"/>
      <c r="S38" s="40">
        <v>0</v>
      </c>
      <c r="T38" s="41"/>
      <c r="U38" s="40">
        <v>0</v>
      </c>
      <c r="V38" s="41"/>
      <c r="W38" s="40">
        <v>0</v>
      </c>
      <c r="X38" s="41"/>
      <c r="Y38" s="40">
        <v>0</v>
      </c>
      <c r="Z38" s="41"/>
      <c r="AA38" s="40">
        <v>0</v>
      </c>
      <c r="AB38" s="41"/>
      <c r="AC38" s="40">
        <v>0</v>
      </c>
      <c r="AD38" s="41"/>
      <c r="AE38" s="40">
        <v>0</v>
      </c>
      <c r="AF38" s="41"/>
      <c r="AG38" s="40">
        <v>0</v>
      </c>
      <c r="AH38" s="41"/>
      <c r="AI38" s="52">
        <v>0</v>
      </c>
    </row>
    <row r="39" spans="1:35" s="15" customFormat="1" ht="18.75" customHeight="1" hidden="1">
      <c r="A39" s="12" t="s">
        <v>7</v>
      </c>
      <c r="B39" s="73" t="s">
        <v>15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6"/>
    </row>
    <row r="40" spans="1:35" s="56" customFormat="1" ht="18.75" customHeight="1">
      <c r="A40" s="23">
        <v>15</v>
      </c>
      <c r="B40" s="53" t="s">
        <v>55</v>
      </c>
      <c r="C40" s="54">
        <f>(C22+C25)/C7</f>
        <v>0.05170610326391357</v>
      </c>
      <c r="D40" s="54">
        <f>(D22+D25)/D7</f>
        <v>0.07415837344700005</v>
      </c>
      <c r="E40" s="54">
        <f>(E22+E25)/E7</f>
        <v>0.09467557421202084</v>
      </c>
      <c r="F40" s="54">
        <f>(F22+F25)/F7</f>
        <v>0.10480817453778947</v>
      </c>
      <c r="G40" s="54">
        <f>(G22+G25)/G7</f>
        <v>0.15888977807166108</v>
      </c>
      <c r="H40" s="41"/>
      <c r="I40" s="54">
        <f>(I22+I25)/I7</f>
        <v>0.07776295173891079</v>
      </c>
      <c r="J40" s="41"/>
      <c r="K40" s="54">
        <f>(K22+K25)/K7</f>
        <v>0.07271054160709114</v>
      </c>
      <c r="L40" s="41"/>
      <c r="M40" s="54">
        <f>(M22+M25)/M7</f>
        <v>0.0678158555169605</v>
      </c>
      <c r="N40" s="41"/>
      <c r="O40" s="54">
        <f>(O22+O25)/O7</f>
        <v>0.06393858179038425</v>
      </c>
      <c r="P40" s="41"/>
      <c r="Q40" s="54">
        <f>(Q22+Q25)/Q7</f>
        <v>0.03295891810341937</v>
      </c>
      <c r="R40" s="41"/>
      <c r="S40" s="54">
        <f>(S22+S25)/S7</f>
        <v>0.04488113372045765</v>
      </c>
      <c r="T40" s="41"/>
      <c r="U40" s="54">
        <f>(U22+U25)/U7</f>
        <v>0.04162840780560476</v>
      </c>
      <c r="V40" s="41"/>
      <c r="W40" s="54">
        <f>(W22+W25)/W7</f>
        <v>0.03858609229883704</v>
      </c>
      <c r="X40" s="41"/>
      <c r="Y40" s="54">
        <f>(Y22+Y25)/Y7</f>
        <v>0.035771618601837786</v>
      </c>
      <c r="Z40" s="41"/>
      <c r="AA40" s="54">
        <f>(AA22+AA25)/AA7</f>
        <v>0.018392482495228835</v>
      </c>
      <c r="AB40" s="41"/>
      <c r="AC40" s="54">
        <f>(AC22+AC25)/AC7</f>
        <v>0.017192196220576977</v>
      </c>
      <c r="AD40" s="41"/>
      <c r="AE40" s="54">
        <f>(AE22+AE25)/AE7</f>
        <v>0.016012140026691615</v>
      </c>
      <c r="AF40" s="41"/>
      <c r="AG40" s="54">
        <f>(AG22+AG25)/AG7</f>
        <v>0.014923452766269591</v>
      </c>
      <c r="AH40" s="41"/>
      <c r="AI40" s="55">
        <f>(AI22+AI25)/AI7</f>
        <v>0.01380705505010995</v>
      </c>
    </row>
    <row r="41" spans="1:35" s="62" customFormat="1" ht="21" customHeight="1">
      <c r="A41" s="57" t="s">
        <v>56</v>
      </c>
      <c r="B41" s="58" t="s">
        <v>57</v>
      </c>
      <c r="C41" s="59">
        <v>0</v>
      </c>
      <c r="D41" s="59">
        <v>0</v>
      </c>
      <c r="E41" s="59">
        <v>0</v>
      </c>
      <c r="F41" s="59">
        <v>0</v>
      </c>
      <c r="G41" s="59">
        <f>(C43+D43+E43)/3</f>
        <v>0.07693168405436229</v>
      </c>
      <c r="H41" s="60"/>
      <c r="I41" s="59">
        <f>(D43+E43+G43)/3</f>
        <v>0.051583769198102335</v>
      </c>
      <c r="J41" s="60"/>
      <c r="K41" s="59">
        <f>(E43+G43+I43)/3</f>
        <v>0.06125463342542665</v>
      </c>
      <c r="L41" s="60"/>
      <c r="M41" s="59">
        <f>(G43+I43+K43)/3</f>
        <v>0.0679350508009019</v>
      </c>
      <c r="N41" s="60"/>
      <c r="O41" s="59">
        <f>(I43+K43+M43)/3</f>
        <v>0.0665098555361649</v>
      </c>
      <c r="P41" s="60"/>
      <c r="Q41" s="59">
        <f>(K43+M43+O43)/3</f>
        <v>0.07181071023761494</v>
      </c>
      <c r="R41" s="60"/>
      <c r="S41" s="59">
        <f>(M43+O43+Q43)/3</f>
        <v>0.0748335293945717</v>
      </c>
      <c r="T41" s="60"/>
      <c r="U41" s="59">
        <f>(O43+Q43+S43)/3</f>
        <v>0.08769730678760794</v>
      </c>
      <c r="V41" s="60"/>
      <c r="W41" s="59">
        <f>(Q43+S43+U43)/3</f>
        <v>0.09855639535781567</v>
      </c>
      <c r="X41" s="60"/>
      <c r="Y41" s="59">
        <f>(S43+U43+W43)/3</f>
        <v>0.10840264453718153</v>
      </c>
      <c r="Z41" s="60"/>
      <c r="AA41" s="59">
        <f>(U43+W43+Y43)/3</f>
        <v>0.11808105287940272</v>
      </c>
      <c r="AB41" s="60"/>
      <c r="AC41" s="59">
        <f>(W43+Y43+AA43)/3</f>
        <v>0.1266220455922478</v>
      </c>
      <c r="AD41" s="60"/>
      <c r="AE41" s="59">
        <f>(Y43+AA43+AC43)/3</f>
        <v>0.133865589206236</v>
      </c>
      <c r="AF41" s="60"/>
      <c r="AG41" s="59">
        <f>(AA43+AC43+AE43)/3</f>
        <v>0.14043407416893194</v>
      </c>
      <c r="AH41" s="60"/>
      <c r="AI41" s="61">
        <f>(AC43+AE43+AG43)/3</f>
        <v>0.14671079370998166</v>
      </c>
    </row>
    <row r="42" spans="1:35" s="62" customFormat="1" ht="25.5">
      <c r="A42" s="57" t="s">
        <v>68</v>
      </c>
      <c r="B42" s="58" t="s">
        <v>70</v>
      </c>
      <c r="C42" s="59">
        <f>(C22+C14+C38)/C7</f>
        <v>0.05170610326391357</v>
      </c>
      <c r="D42" s="59">
        <f>(D22+D14+D38)/D7</f>
        <v>0.07415837344700005</v>
      </c>
      <c r="E42" s="59">
        <f>(E22+E14+E38)/E7</f>
        <v>0.09467557421202084</v>
      </c>
      <c r="F42" s="59">
        <f>(F22+F14+F38)/F7</f>
        <v>0.10480817453778947</v>
      </c>
      <c r="G42" s="59">
        <f>(G22+G14+G38)/G7</f>
        <v>0.15888977807166108</v>
      </c>
      <c r="H42" s="60"/>
      <c r="I42" s="59">
        <f>(I22+I14+I38)/I7</f>
        <v>0.07776295173891079</v>
      </c>
      <c r="J42" s="60"/>
      <c r="K42" s="59">
        <f>(K22+K14+K38)/K7</f>
        <v>0.07271054160709114</v>
      </c>
      <c r="L42" s="60"/>
      <c r="M42" s="59">
        <f>(M22+M14+M38)/M7</f>
        <v>0.0678158555169605</v>
      </c>
      <c r="N42" s="60"/>
      <c r="O42" s="59">
        <f>(O22+O14+O38)/O7</f>
        <v>0.06393858179038425</v>
      </c>
      <c r="P42" s="60"/>
      <c r="Q42" s="59">
        <f>(Q22+Q14+Q38)/Q7</f>
        <v>0.03295891810341937</v>
      </c>
      <c r="R42" s="60"/>
      <c r="S42" s="59">
        <f>(S22+S14+S38)/S7</f>
        <v>0.04488113372045765</v>
      </c>
      <c r="T42" s="60"/>
      <c r="U42" s="59">
        <f>(U22+U14+U38)/U7</f>
        <v>0.04162840780560476</v>
      </c>
      <c r="V42" s="60"/>
      <c r="W42" s="59">
        <f>(W22+W14+W38)/W7</f>
        <v>0.03858609229883704</v>
      </c>
      <c r="X42" s="60"/>
      <c r="Y42" s="59">
        <f>(Y22+Y14+Y38)/Y7</f>
        <v>0.035771618601837786</v>
      </c>
      <c r="Z42" s="60"/>
      <c r="AA42" s="59">
        <f>(AA22+AA14+AA38)/AA7</f>
        <v>0.018392482495228835</v>
      </c>
      <c r="AB42" s="60"/>
      <c r="AC42" s="59">
        <f>(AC22+AC14+AC38)/AC7</f>
        <v>0.017192196220576977</v>
      </c>
      <c r="AD42" s="60"/>
      <c r="AE42" s="59">
        <f>(AE22+AE14+AE38)/AE7</f>
        <v>0.016012140026691615</v>
      </c>
      <c r="AF42" s="60"/>
      <c r="AG42" s="59">
        <f>(AG22+AG14+AG38)/AG7</f>
        <v>0.014923452766269591</v>
      </c>
      <c r="AH42" s="60"/>
      <c r="AI42" s="61">
        <f>(AI22+AI14+AI38)/AI7</f>
        <v>0.01380705505010995</v>
      </c>
    </row>
    <row r="43" spans="1:35" s="62" customFormat="1" ht="25.5">
      <c r="A43" s="57" t="s">
        <v>69</v>
      </c>
      <c r="B43" s="58" t="s">
        <v>71</v>
      </c>
      <c r="C43" s="59">
        <f>(C8-C47+C10)/C7</f>
        <v>0.1397376415424121</v>
      </c>
      <c r="D43" s="59">
        <f>(D8-D47+D10)/D7</f>
        <v>0.03126759459963148</v>
      </c>
      <c r="E43" s="59">
        <f>(E8-E47+E10)/E7</f>
        <v>0.059789816021043274</v>
      </c>
      <c r="F43" s="59">
        <f>(F8-F47+F10)/F7</f>
        <v>0.0738569473511998</v>
      </c>
      <c r="G43" s="59">
        <f>(G8-G47+G10)/G7</f>
        <v>0.06369389697363224</v>
      </c>
      <c r="H43" s="60"/>
      <c r="I43" s="59">
        <f>(I8-I47+I10)/I7</f>
        <v>0.060280187281604426</v>
      </c>
      <c r="J43" s="60"/>
      <c r="K43" s="59">
        <f>(K8-K47+K10)/K7</f>
        <v>0.079831068147469</v>
      </c>
      <c r="L43" s="60"/>
      <c r="M43" s="59">
        <f>(M8-M47+M10)/M7</f>
        <v>0.05941831117942124</v>
      </c>
      <c r="N43" s="60"/>
      <c r="O43" s="59">
        <f>(O8-O47+O10)/O7</f>
        <v>0.07618275138595457</v>
      </c>
      <c r="P43" s="60"/>
      <c r="Q43" s="59">
        <f>(Q8-Q47+Q10)/Q7</f>
        <v>0.08889952561833932</v>
      </c>
      <c r="R43" s="60"/>
      <c r="S43" s="59">
        <f>(S8-S47+S10)/S7</f>
        <v>0.09800964335852988</v>
      </c>
      <c r="T43" s="60"/>
      <c r="U43" s="59">
        <f>(U8-U47+U10)/U7</f>
        <v>0.1087600170965778</v>
      </c>
      <c r="V43" s="60"/>
      <c r="W43" s="59">
        <f>(W8-W47+W10)/W7</f>
        <v>0.1184382731564369</v>
      </c>
      <c r="X43" s="60"/>
      <c r="Y43" s="59">
        <f>(Y8-Y47+Y10)/Y7</f>
        <v>0.12704486838519347</v>
      </c>
      <c r="Z43" s="60"/>
      <c r="AA43" s="59">
        <f>(AA8-AA47+AA10)/AA7</f>
        <v>0.13438299523511307</v>
      </c>
      <c r="AB43" s="60"/>
      <c r="AC43" s="59">
        <f>(AC8-AC47+AC10)/AC7</f>
        <v>0.14016890399840143</v>
      </c>
      <c r="AD43" s="60"/>
      <c r="AE43" s="59">
        <f>(AE8-AE47+AE10)/AE7</f>
        <v>0.14675032327328127</v>
      </c>
      <c r="AF43" s="60"/>
      <c r="AG43" s="59">
        <f>(AG8-AG47+AG10)/AG7</f>
        <v>0.15321315385826226</v>
      </c>
      <c r="AH43" s="60"/>
      <c r="AI43" s="61">
        <f>(AI8-AI47+AI10)/AI7</f>
        <v>0.15967637260877657</v>
      </c>
    </row>
    <row r="44" spans="1:35" s="68" customFormat="1" ht="25.5">
      <c r="A44" s="63">
        <v>16</v>
      </c>
      <c r="B44" s="64" t="s">
        <v>72</v>
      </c>
      <c r="C44" s="65" t="s">
        <v>58</v>
      </c>
      <c r="D44" s="65" t="s">
        <v>58</v>
      </c>
      <c r="E44" s="65" t="s">
        <v>58</v>
      </c>
      <c r="F44" s="65" t="s">
        <v>58</v>
      </c>
      <c r="G44" s="65" t="s">
        <v>67</v>
      </c>
      <c r="H44" s="66"/>
      <c r="I44" s="65" t="s">
        <v>67</v>
      </c>
      <c r="J44" s="66"/>
      <c r="K44" s="65" t="s">
        <v>67</v>
      </c>
      <c r="L44" s="66"/>
      <c r="M44" s="65" t="s">
        <v>58</v>
      </c>
      <c r="N44" s="66"/>
      <c r="O44" s="65" t="s">
        <v>58</v>
      </c>
      <c r="P44" s="66"/>
      <c r="Q44" s="65" t="s">
        <v>58</v>
      </c>
      <c r="R44" s="66"/>
      <c r="S44" s="65" t="s">
        <v>58</v>
      </c>
      <c r="T44" s="66"/>
      <c r="U44" s="65" t="s">
        <v>58</v>
      </c>
      <c r="V44" s="66"/>
      <c r="W44" s="65" t="s">
        <v>58</v>
      </c>
      <c r="X44" s="66"/>
      <c r="Y44" s="65" t="s">
        <v>58</v>
      </c>
      <c r="Z44" s="66"/>
      <c r="AA44" s="65" t="s">
        <v>58</v>
      </c>
      <c r="AB44" s="66"/>
      <c r="AC44" s="65" t="s">
        <v>58</v>
      </c>
      <c r="AD44" s="66"/>
      <c r="AE44" s="65" t="s">
        <v>58</v>
      </c>
      <c r="AF44" s="66"/>
      <c r="AG44" s="65" t="s">
        <v>58</v>
      </c>
      <c r="AH44" s="66"/>
      <c r="AI44" s="67" t="s">
        <v>58</v>
      </c>
    </row>
    <row r="45" spans="1:35" s="56" customFormat="1" ht="25.5">
      <c r="A45" s="23">
        <v>17</v>
      </c>
      <c r="B45" s="53" t="s">
        <v>59</v>
      </c>
      <c r="C45" s="54">
        <f>(C23+C14+C24-C15-C37)/C7</f>
        <v>0.05170610326391357</v>
      </c>
      <c r="D45" s="54">
        <f>(D23+D14+D24-D15-D37)/D7</f>
        <v>0.07415837344700005</v>
      </c>
      <c r="E45" s="54">
        <f>(E23+E14+E24-E15-E37)/E7</f>
        <v>0.09394741716440382</v>
      </c>
      <c r="F45" s="54">
        <f>(F23+F14+F24-F15-F37)/F7</f>
        <v>0.1046488042408684</v>
      </c>
      <c r="G45" s="54">
        <f>(G23+G14+G24-G15-G37)/G7</f>
        <v>0.08664296300879143</v>
      </c>
      <c r="H45" s="41"/>
      <c r="I45" s="54">
        <f>(I23+I14+I24-I15-I37)/I7</f>
        <v>0.07776295173891079</v>
      </c>
      <c r="J45" s="41"/>
      <c r="K45" s="54">
        <f>(K23+K14+K24-K15-K37)/K7</f>
        <v>0.07271054160709114</v>
      </c>
      <c r="L45" s="41"/>
      <c r="M45" s="54">
        <f>(M23+M14+M24-M15-M37)/M7</f>
        <v>0.0678158555169605</v>
      </c>
      <c r="N45" s="41"/>
      <c r="O45" s="54">
        <f>(O23+O14+O24-O15-O37)/O7</f>
        <v>0.06393858179038425</v>
      </c>
      <c r="P45" s="41"/>
      <c r="Q45" s="54">
        <f>(Q23+Q14+Q24-Q15-Q37)/Q7</f>
        <v>0.03295891810341937</v>
      </c>
      <c r="R45" s="41"/>
      <c r="S45" s="54">
        <f>(S23+S14+S24-S15-S37)/S7</f>
        <v>0.04488113372045765</v>
      </c>
      <c r="T45" s="41"/>
      <c r="U45" s="54">
        <f>(U23+U14+U24-U15-U37)/U7</f>
        <v>0.04162840780560476</v>
      </c>
      <c r="V45" s="41"/>
      <c r="W45" s="54">
        <f>(W23+W14+W24-W15-W37)/W7</f>
        <v>0.03858609229883704</v>
      </c>
      <c r="X45" s="41"/>
      <c r="Y45" s="54">
        <f>(Y23+Y14+Y24-Y15-Y37)/Y7</f>
        <v>0.035771618601837786</v>
      </c>
      <c r="Z45" s="41"/>
      <c r="AA45" s="54">
        <f>(AA23+AA14+AA24-AA15-AA37)/AA7</f>
        <v>0.018392482495228835</v>
      </c>
      <c r="AB45" s="41"/>
      <c r="AC45" s="54">
        <f>(AC23+AC14+AC24-AC15-AC37)/AC7</f>
        <v>0.017192196220576977</v>
      </c>
      <c r="AD45" s="41"/>
      <c r="AE45" s="54">
        <f>(AE23+AE14+AE24-AE15-AE37)/AE7</f>
        <v>0.016012140026691615</v>
      </c>
      <c r="AF45" s="41"/>
      <c r="AG45" s="54">
        <f>(AG23+AG14+AG24-AG15-AG37)/AG7</f>
        <v>0.014923452766269591</v>
      </c>
      <c r="AH45" s="41"/>
      <c r="AI45" s="55">
        <f>(AI23+AI14+AI24-AI15-AI37)/AI7</f>
        <v>0.01380705505010995</v>
      </c>
    </row>
    <row r="46" spans="1:35" s="68" customFormat="1" ht="27" customHeight="1">
      <c r="A46" s="63">
        <v>18</v>
      </c>
      <c r="B46" s="64" t="s">
        <v>60</v>
      </c>
      <c r="C46" s="69">
        <f>(C35-C36)/C7</f>
        <v>0.2881587654088645</v>
      </c>
      <c r="D46" s="69">
        <f>(D35-D36)/D7</f>
        <v>0.3490007133314725</v>
      </c>
      <c r="E46" s="69">
        <f>(E35-E36)/E7</f>
        <v>0.41162552021551496</v>
      </c>
      <c r="F46" s="69">
        <f>(F35-F36)/F7</f>
        <v>0.3955891937615139</v>
      </c>
      <c r="G46" s="69">
        <f>(G35-G36)/G7</f>
        <v>0.46410127337572676</v>
      </c>
      <c r="H46" s="48"/>
      <c r="I46" s="69">
        <f>(I35-I36)/I7</f>
        <v>0.4410200755844571</v>
      </c>
      <c r="J46" s="48"/>
      <c r="K46" s="69">
        <f>(K35-K36)/K7</f>
        <v>0.3743170410875023</v>
      </c>
      <c r="L46" s="48"/>
      <c r="M46" s="69">
        <f>(M35-M36)/M7</f>
        <v>0.3235140701631986</v>
      </c>
      <c r="N46" s="48"/>
      <c r="O46" s="69">
        <f>(O35-O36)/O7</f>
        <v>0.2605051548907556</v>
      </c>
      <c r="P46" s="48"/>
      <c r="Q46" s="69">
        <f>(Q35-Q36)/Q7</f>
        <v>0.22944272068242622</v>
      </c>
      <c r="R46" s="48"/>
      <c r="S46" s="69">
        <f>(S35-S36)/S7</f>
        <v>0.18757858605076924</v>
      </c>
      <c r="T46" s="48"/>
      <c r="U46" s="69">
        <f>(U35-U36)/U7</f>
        <v>0.14842687626008239</v>
      </c>
      <c r="V46" s="48"/>
      <c r="W46" s="69">
        <f>(W35-W36)/W7</f>
        <v>0.11175520064822277</v>
      </c>
      <c r="X46" s="48"/>
      <c r="Y46" s="69">
        <f>(Y35-Y36)/Y7</f>
        <v>0.07734994483659437</v>
      </c>
      <c r="Z46" s="48"/>
      <c r="AA46" s="69">
        <f>(AA35-AA36)/AA7</f>
        <v>0.06001935474287232</v>
      </c>
      <c r="AB46" s="48"/>
      <c r="AC46" s="69">
        <f>(AC35-AC36)/AC7</f>
        <v>0.043703413552575586</v>
      </c>
      <c r="AD46" s="48"/>
      <c r="AE46" s="69">
        <f>(AE35-AE36)/AE7</f>
        <v>0.028286997182048926</v>
      </c>
      <c r="AF46" s="48"/>
      <c r="AG46" s="69">
        <f>(AG35-AG36)/AG7</f>
        <v>0.013731549769261841</v>
      </c>
      <c r="AH46" s="48"/>
      <c r="AI46" s="70">
        <f>(AI35-AI36)/AI7</f>
        <v>-3.999481660554054E-09</v>
      </c>
    </row>
    <row r="47" spans="1:35" s="44" customFormat="1" ht="24" customHeight="1">
      <c r="A47" s="23">
        <v>19</v>
      </c>
      <c r="B47" s="24" t="s">
        <v>61</v>
      </c>
      <c r="C47" s="40">
        <f>C11+C24</f>
        <v>11526765.75</v>
      </c>
      <c r="D47" s="40">
        <f>D11+D24</f>
        <v>13241694.5</v>
      </c>
      <c r="E47" s="40">
        <f>E11+E24</f>
        <v>13687273.33</v>
      </c>
      <c r="F47" s="40">
        <f>F11+F24</f>
        <v>13743017.37</v>
      </c>
      <c r="G47" s="40">
        <f>G11+G24</f>
        <v>13843060.86</v>
      </c>
      <c r="H47" s="41"/>
      <c r="I47" s="42">
        <f>I11+I24</f>
        <v>14206285</v>
      </c>
      <c r="J47" s="41"/>
      <c r="K47" s="42">
        <f>K11+K24</f>
        <v>14510327</v>
      </c>
      <c r="L47" s="41"/>
      <c r="M47" s="42">
        <f>M11+M24</f>
        <v>14824318</v>
      </c>
      <c r="N47" s="41"/>
      <c r="O47" s="42">
        <f>O11+O24</f>
        <v>15142501</v>
      </c>
      <c r="P47" s="41"/>
      <c r="Q47" s="42">
        <f>Q11+Q24</f>
        <v>15486618</v>
      </c>
      <c r="R47" s="41"/>
      <c r="S47" s="42">
        <f>S11+S24</f>
        <v>15868379</v>
      </c>
      <c r="T47" s="41"/>
      <c r="U47" s="42">
        <f>U11+U24</f>
        <v>16212346</v>
      </c>
      <c r="V47" s="41"/>
      <c r="W47" s="42">
        <f>W11+W24</f>
        <v>16565489</v>
      </c>
      <c r="X47" s="41"/>
      <c r="Y47" s="42">
        <f>Y11+Y24</f>
        <v>16928682</v>
      </c>
      <c r="Z47" s="41"/>
      <c r="AA47" s="42">
        <f>AA11+AA24</f>
        <v>17306756</v>
      </c>
      <c r="AB47" s="41"/>
      <c r="AC47" s="42">
        <f>AC11+AC24</f>
        <v>17706807</v>
      </c>
      <c r="AD47" s="41"/>
      <c r="AE47" s="42">
        <f>AE11+AE24</f>
        <v>18098412</v>
      </c>
      <c r="AF47" s="41"/>
      <c r="AG47" s="42">
        <f>AG11+AG24</f>
        <v>18500168</v>
      </c>
      <c r="AH47" s="41"/>
      <c r="AI47" s="43">
        <f>AI11+AI24</f>
        <v>18909732</v>
      </c>
    </row>
    <row r="48" spans="1:35" s="44" customFormat="1" ht="24" customHeight="1">
      <c r="A48" s="23">
        <v>20</v>
      </c>
      <c r="B48" s="24" t="s">
        <v>62</v>
      </c>
      <c r="C48" s="40">
        <f>C47+C27</f>
        <v>14271247.33</v>
      </c>
      <c r="D48" s="40">
        <f>D47+D27</f>
        <v>16615243.18</v>
      </c>
      <c r="E48" s="40">
        <f>E47+E27</f>
        <v>21673552.33</v>
      </c>
      <c r="F48" s="40">
        <f>F47+F27</f>
        <v>17563088.41</v>
      </c>
      <c r="G48" s="40">
        <f>G47+G27</f>
        <v>16825243.86</v>
      </c>
      <c r="H48" s="41"/>
      <c r="I48" s="42">
        <f>I47+I27</f>
        <v>14406285</v>
      </c>
      <c r="J48" s="41"/>
      <c r="K48" s="42">
        <f>K47+K27</f>
        <v>14710327</v>
      </c>
      <c r="L48" s="41"/>
      <c r="M48" s="42">
        <f>M47+M27</f>
        <v>15024318</v>
      </c>
      <c r="N48" s="41"/>
      <c r="O48" s="42">
        <f>O47+O27</f>
        <v>15542501</v>
      </c>
      <c r="P48" s="41"/>
      <c r="Q48" s="42">
        <f>Q47+Q27</f>
        <v>16686618</v>
      </c>
      <c r="R48" s="41"/>
      <c r="S48" s="42">
        <f>S47+S27</f>
        <v>17068379</v>
      </c>
      <c r="T48" s="41"/>
      <c r="U48" s="42">
        <f>U47+U27</f>
        <v>17412346</v>
      </c>
      <c r="V48" s="41"/>
      <c r="W48" s="42">
        <f>W47+W27</f>
        <v>18165489</v>
      </c>
      <c r="X48" s="41"/>
      <c r="Y48" s="42">
        <f>Y47+Y27</f>
        <v>18928682</v>
      </c>
      <c r="Z48" s="41"/>
      <c r="AA48" s="42">
        <f>AA47+AA27</f>
        <v>19806756</v>
      </c>
      <c r="AB48" s="41"/>
      <c r="AC48" s="42">
        <f>AC47+AC27</f>
        <v>20206807</v>
      </c>
      <c r="AD48" s="41"/>
      <c r="AE48" s="42">
        <f>AE47+AE27</f>
        <v>20898412</v>
      </c>
      <c r="AF48" s="41"/>
      <c r="AG48" s="42">
        <f>AG47+AG27</f>
        <v>21500168</v>
      </c>
      <c r="AH48" s="41"/>
      <c r="AI48" s="43">
        <f>AI47+AI27</f>
        <v>22383445</v>
      </c>
    </row>
    <row r="49" spans="1:35" s="44" customFormat="1" ht="24" customHeight="1">
      <c r="A49" s="23">
        <v>21</v>
      </c>
      <c r="B49" s="24" t="s">
        <v>63</v>
      </c>
      <c r="C49" s="40">
        <f>C7-C48</f>
        <v>305439.22000000067</v>
      </c>
      <c r="D49" s="40">
        <f>D7-D48</f>
        <v>-2410458.460000001</v>
      </c>
      <c r="E49" s="40">
        <f>E7-E48</f>
        <v>-4191060</v>
      </c>
      <c r="F49" s="40">
        <f>F7-F48</f>
        <v>-2493718.2300000004</v>
      </c>
      <c r="G49" s="40">
        <f>G7-G48</f>
        <v>-484758.8300000001</v>
      </c>
      <c r="H49" s="41"/>
      <c r="I49" s="42">
        <f>I7-I48</f>
        <v>883631</v>
      </c>
      <c r="J49" s="41"/>
      <c r="K49" s="42">
        <f>K7-K48</f>
        <v>1058872</v>
      </c>
      <c r="L49" s="41"/>
      <c r="M49" s="42">
        <f>M7-M48</f>
        <v>736480</v>
      </c>
      <c r="N49" s="41"/>
      <c r="O49" s="42">
        <f>O7-O48</f>
        <v>848729</v>
      </c>
      <c r="P49" s="41"/>
      <c r="Q49" s="42">
        <f>Q7-Q48</f>
        <v>311088</v>
      </c>
      <c r="R49" s="41"/>
      <c r="S49" s="42">
        <f>S7-S48</f>
        <v>524247</v>
      </c>
      <c r="T49" s="41"/>
      <c r="U49" s="42">
        <f>U7-U48</f>
        <v>778429</v>
      </c>
      <c r="V49" s="41"/>
      <c r="W49" s="42">
        <f>W7-W48</f>
        <v>625582</v>
      </c>
      <c r="X49" s="41"/>
      <c r="Y49" s="42">
        <f>Y7-Y48</f>
        <v>463703</v>
      </c>
      <c r="Z49" s="41"/>
      <c r="AA49" s="42">
        <f>AA7-AA48</f>
        <v>186793</v>
      </c>
      <c r="AB49" s="41"/>
      <c r="AC49" s="42">
        <f>AC7-AC48</f>
        <v>386548</v>
      </c>
      <c r="AD49" s="41"/>
      <c r="AE49" s="42">
        <f>AE7-AE48</f>
        <v>312744</v>
      </c>
      <c r="AF49" s="41"/>
      <c r="AG49" s="42">
        <f>AG7-AG48</f>
        <v>347323</v>
      </c>
      <c r="AH49" s="41"/>
      <c r="AI49" s="43">
        <f>AI7-AI48</f>
        <v>119471</v>
      </c>
    </row>
    <row r="50" spans="1:35" s="44" customFormat="1" ht="24" customHeight="1">
      <c r="A50" s="23">
        <v>22</v>
      </c>
      <c r="B50" s="24" t="s">
        <v>64</v>
      </c>
      <c r="C50" s="40">
        <f>C18+C20+C29</f>
        <v>2051461</v>
      </c>
      <c r="D50" s="40">
        <f>D18+D20+D29</f>
        <v>3751149</v>
      </c>
      <c r="E50" s="40">
        <f>E18+E20+E29</f>
        <v>5543900</v>
      </c>
      <c r="F50" s="40">
        <f>F18+F20+F29</f>
        <v>4544879.0600000005</v>
      </c>
      <c r="G50" s="40">
        <f>G18+G20+G29</f>
        <v>2718360.83</v>
      </c>
      <c r="H50" s="41"/>
      <c r="I50" s="42">
        <f>I18+I20+I29</f>
        <v>0</v>
      </c>
      <c r="J50" s="41"/>
      <c r="K50" s="42">
        <f>K18+K20+K29</f>
        <v>43151</v>
      </c>
      <c r="L50" s="41"/>
      <c r="M50" s="42">
        <f>M18+M20+M29</f>
        <v>261543</v>
      </c>
      <c r="N50" s="41"/>
      <c r="O50" s="42">
        <f>O18+O20+O29</f>
        <v>194183</v>
      </c>
      <c r="P50" s="41"/>
      <c r="Q50" s="42">
        <f>Q18+Q20+Q29</f>
        <v>214072</v>
      </c>
      <c r="R50" s="41"/>
      <c r="S50" s="42">
        <f>S18+S20+S29</f>
        <v>155160</v>
      </c>
      <c r="T50" s="41"/>
      <c r="U50" s="42">
        <f>U18+U20+U29</f>
        <v>79407</v>
      </c>
      <c r="V50" s="41"/>
      <c r="W50" s="42">
        <f>W18+W20+W29</f>
        <v>257836</v>
      </c>
      <c r="X50" s="41"/>
      <c r="Y50" s="42">
        <f>Y18+Y20+Y29</f>
        <v>283418</v>
      </c>
      <c r="Z50" s="41"/>
      <c r="AA50" s="42">
        <f>AA18+AA20+AA29</f>
        <v>147121</v>
      </c>
      <c r="AB50" s="41"/>
      <c r="AC50" s="42">
        <f>AC18+AC20+AC29</f>
        <v>33914</v>
      </c>
      <c r="AD50" s="41"/>
      <c r="AE50" s="42">
        <f>AE18+AE20+AE29</f>
        <v>120462</v>
      </c>
      <c r="AF50" s="41"/>
      <c r="AG50" s="42">
        <f>AG18+AG20+AG29</f>
        <v>133206</v>
      </c>
      <c r="AH50" s="41"/>
      <c r="AI50" s="43">
        <f>AI18+AI20+AI29</f>
        <v>180529</v>
      </c>
    </row>
    <row r="51" spans="1:35" s="44" customFormat="1" ht="24" customHeight="1">
      <c r="A51" s="23">
        <v>23</v>
      </c>
      <c r="B51" s="24" t="s">
        <v>65</v>
      </c>
      <c r="C51" s="40">
        <f>C23+C25</f>
        <v>634740</v>
      </c>
      <c r="D51" s="40">
        <f>D23+D25</f>
        <v>828320</v>
      </c>
      <c r="E51" s="40">
        <f>E23+E25</f>
        <v>1332840</v>
      </c>
      <c r="F51" s="40">
        <f>F23+F25</f>
        <v>1296200</v>
      </c>
      <c r="G51" s="40">
        <f>G23+G25</f>
        <v>2233602</v>
      </c>
      <c r="H51" s="41"/>
      <c r="I51" s="42">
        <f>I23+I25</f>
        <v>840480</v>
      </c>
      <c r="J51" s="41"/>
      <c r="K51" s="42">
        <f>K23+K25</f>
        <v>840480</v>
      </c>
      <c r="L51" s="41"/>
      <c r="M51" s="42">
        <f>M23+M25</f>
        <v>803840</v>
      </c>
      <c r="N51" s="41"/>
      <c r="O51" s="42">
        <f>O23+O25</f>
        <v>828840</v>
      </c>
      <c r="P51" s="41"/>
      <c r="Q51" s="42">
        <f>Q23+Q25</f>
        <v>370000</v>
      </c>
      <c r="R51" s="41"/>
      <c r="S51" s="42">
        <f>S23+S25</f>
        <v>600000</v>
      </c>
      <c r="T51" s="41"/>
      <c r="U51" s="42">
        <f>U23+U25</f>
        <v>600000</v>
      </c>
      <c r="V51" s="41"/>
      <c r="W51" s="42">
        <f>W23+W25</f>
        <v>600000</v>
      </c>
      <c r="X51" s="41"/>
      <c r="Y51" s="42">
        <f>Y23+Y25</f>
        <v>600000</v>
      </c>
      <c r="Z51" s="41"/>
      <c r="AA51" s="42">
        <f>AA23+AA25</f>
        <v>300000</v>
      </c>
      <c r="AB51" s="41"/>
      <c r="AC51" s="42">
        <f>AC23+AC25</f>
        <v>300000</v>
      </c>
      <c r="AD51" s="41"/>
      <c r="AE51" s="42">
        <f>AE23+AE25</f>
        <v>300000</v>
      </c>
      <c r="AF51" s="41"/>
      <c r="AG51" s="42">
        <f>AG23+AG25</f>
        <v>300000</v>
      </c>
      <c r="AH51" s="41"/>
      <c r="AI51" s="43">
        <f>AI23+AI25</f>
        <v>300000</v>
      </c>
    </row>
  </sheetData>
  <sheetProtection/>
  <mergeCells count="8">
    <mergeCell ref="A4:A5"/>
    <mergeCell ref="A2:AI2"/>
    <mergeCell ref="B39:AI39"/>
    <mergeCell ref="B4:B5"/>
    <mergeCell ref="G4:K4"/>
    <mergeCell ref="M4:AI4"/>
    <mergeCell ref="F4:F5"/>
    <mergeCell ref="C4:D4"/>
  </mergeCells>
  <printOptions verticalCentered="1"/>
  <pageMargins left="0.1968503937007874" right="0.1968503937007874" top="0.56" bottom="0.31496062992125984" header="0.15748031496062992" footer="0.15748031496062992"/>
  <pageSetup fitToHeight="1" fitToWidth="1" horizontalDpi="600" verticalDpi="600" orientation="landscape" paperSize="9" scale="52" r:id="rId1"/>
  <headerFooter alignWithMargins="0">
    <oddHeader>&amp;R&amp;"Arial,Pogrubiony"&amp;11Załącznik Nr 1
&amp;"Arial,Normalny"do Uchwały Nr X/69/2011 
Rady Gminy Miłkowice
z dnia 5 sierpnia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2011-08-11T08:54:40Z</cp:lastPrinted>
  <dcterms:created xsi:type="dcterms:W3CDTF">2009-11-13T08:08:33Z</dcterms:created>
  <dcterms:modified xsi:type="dcterms:W3CDTF">2011-08-11T08:54:42Z</dcterms:modified>
  <cp:category/>
  <cp:version/>
  <cp:contentType/>
  <cp:contentStatus/>
</cp:coreProperties>
</file>