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315" windowHeight="8700" activeTab="3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</sheets>
  <definedNames>
    <definedName name="_xlnm.Print_Area" localSheetId="0">'1'!$A$1:$O$30</definedName>
    <definedName name="_xlnm.Print_Area" localSheetId="1">'2'!$A$1:$W$81</definedName>
    <definedName name="_xlnm.Print_Area" localSheetId="2">'3'!$A$1:$J$82</definedName>
    <definedName name="_xlnm.Print_Area" localSheetId="3">'3a'!$A$1:$I$69</definedName>
    <definedName name="_xlnm.Print_Area" localSheetId="4">'4'!$A$1:$G$45</definedName>
    <definedName name="_xlnm.Print_Area" localSheetId="5">'5'!$A$1:$E$72</definedName>
    <definedName name="_xlnm.Print_Area" localSheetId="6">'6'!$A$1:$H$16</definedName>
  </definedNames>
  <calcPr fullCalcOnLoad="1"/>
</workbook>
</file>

<file path=xl/sharedStrings.xml><?xml version="1.0" encoding="utf-8"?>
<sst xmlns="http://schemas.openxmlformats.org/spreadsheetml/2006/main" count="790" uniqueCount="458">
  <si>
    <t>w złotych</t>
  </si>
  <si>
    <t>Dział</t>
  </si>
  <si>
    <t>Rozdział</t>
  </si>
  <si>
    <t>§</t>
  </si>
  <si>
    <t>Nazwa</t>
  </si>
  <si>
    <t>Plan przed zmianą</t>
  </si>
  <si>
    <t>Zwiększenie</t>
  </si>
  <si>
    <t>Plan po zmianach 
(5+6+7)</t>
  </si>
  <si>
    <t>1</t>
  </si>
  <si>
    <t>2</t>
  </si>
  <si>
    <t>3</t>
  </si>
  <si>
    <t>4</t>
  </si>
  <si>
    <t>5</t>
  </si>
  <si>
    <t>7</t>
  </si>
  <si>
    <t>8</t>
  </si>
  <si>
    <t>bieżące</t>
  </si>
  <si>
    <t>758</t>
  </si>
  <si>
    <t>Różne rozliczenia</t>
  </si>
  <si>
    <t>5 774 761,00</t>
  </si>
  <si>
    <t>0,00</t>
  </si>
  <si>
    <t>24 264,71</t>
  </si>
  <si>
    <t>5 799 025,71</t>
  </si>
  <si>
    <t xml:space="preserve">w tym z tytułu dotacji i środków na finansowanie wydatków na realizację zadań finansowanych z udziałem środków, o których mowa w art. 5 ust. 1 pkt 2 i 3 
</t>
  </si>
  <si>
    <t>75814</t>
  </si>
  <si>
    <t>Różne rozliczenia finansowe</t>
  </si>
  <si>
    <t>32 300,00</t>
  </si>
  <si>
    <t>56 564,71</t>
  </si>
  <si>
    <t>2030</t>
  </si>
  <si>
    <t>Dotacje celowe otrzymane z budżetu państwa na realizację własnych zadań bieżących gmin (związków gmin)</t>
  </si>
  <si>
    <t>801</t>
  </si>
  <si>
    <t>Oświata i wychowanie</t>
  </si>
  <si>
    <t>72 796,98</t>
  </si>
  <si>
    <t>2 880,00</t>
  </si>
  <si>
    <t>75 676,98</t>
  </si>
  <si>
    <t>51 395,98</t>
  </si>
  <si>
    <t>54 275,98</t>
  </si>
  <si>
    <t>80101</t>
  </si>
  <si>
    <t>Szkoły podstawowe</t>
  </si>
  <si>
    <t>52 895,98</t>
  </si>
  <si>
    <t>55 775,98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</si>
  <si>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</si>
  <si>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</si>
  <si>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42 332,58</t>
  </si>
  <si>
    <t>2 448,00</t>
  </si>
  <si>
    <t>44 780,58</t>
  </si>
  <si>
    <t>2009</t>
  </si>
  <si>
    <t>9 063,40</t>
  </si>
  <si>
    <t>432,00</t>
  </si>
  <si>
    <t>9 495,40</t>
  </si>
  <si>
    <t>razem:</t>
  </si>
  <si>
    <t>15 616 412,98</t>
  </si>
  <si>
    <t>27 144,71</t>
  </si>
  <si>
    <t>15 643 557,69</t>
  </si>
  <si>
    <t>264 885,98</t>
  </si>
  <si>
    <t>267 765,98</t>
  </si>
  <si>
    <t>majątkowe</t>
  </si>
  <si>
    <t>12 760,13</t>
  </si>
  <si>
    <t>6330</t>
  </si>
  <si>
    <t>Dotacje celowe otrzymane z budżetu państwa na realizację inwestycji i zakupów inwestycyjnych własnych gmin (związków gmin)</t>
  </si>
  <si>
    <t>1 317 259,90</t>
  </si>
  <si>
    <t>1 330 020,03</t>
  </si>
  <si>
    <t>201 314,00</t>
  </si>
  <si>
    <t>Ogółem:</t>
  </si>
  <si>
    <t>16 933 672,88</t>
  </si>
  <si>
    <t>39 904,84</t>
  </si>
  <si>
    <t>16 973 577,72</t>
  </si>
  <si>
    <t>466 199,98</t>
  </si>
  <si>
    <t>469 079,98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</si>
  <si>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</si>
  <si>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</si>
  <si>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</si>
  <si>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</si>
  <si>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</si>
  <si>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</si>
  <si>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</si>
  <si>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</si>
  <si>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</si>
  <si>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</si>
  <si>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</si>
  <si>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</si>
  <si>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</si>
  <si>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</si>
  <si>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</si>
  <si>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</si>
  <si>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</si>
  <si>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Rolnictwo i łowiectwo</t>
  </si>
  <si>
    <t>przed zmianą</t>
  </si>
  <si>
    <t>zmniejszenie</t>
  </si>
  <si>
    <t>zwiększenie</t>
  </si>
  <si>
    <t>po zmianach</t>
  </si>
  <si>
    <t>Infrastruktura wodociągowa i sanitacyjna wsi</t>
  </si>
  <si>
    <t>Transport i łączność</t>
  </si>
  <si>
    <t>Drogi publiczne powiatowe</t>
  </si>
  <si>
    <t>Administracja publiczna</t>
  </si>
  <si>
    <t>Urzędy gmin (miast i miast na prawach powiatu)</t>
  </si>
  <si>
    <t>Bezpieczeństwo publiczne i ochrona przeciwpożarowa</t>
  </si>
  <si>
    <t>Ochotnicze straże pożarne</t>
  </si>
  <si>
    <t xml:space="preserve">Przedszkola </t>
  </si>
  <si>
    <t>Pomoc społeczna</t>
  </si>
  <si>
    <t>Ośrodki pomocy społecznej</t>
  </si>
  <si>
    <t>Kultura i ochrona dziedzictwa narodowego</t>
  </si>
  <si>
    <t>Domy i ośrodki kultury, świetlice i kluby</t>
  </si>
  <si>
    <t>Wydatki razem:</t>
  </si>
  <si>
    <t>ZMIANA PLANU DOCHODÓW GMINY MIŁKOWICE NA ROK 2012</t>
  </si>
  <si>
    <t>ZMIANA PLANU WYDATKÓW BUDŻETOWYCH GMINY MIŁKOWICE NA ROK 2012</t>
  </si>
  <si>
    <t>010</t>
  </si>
  <si>
    <t>01010</t>
  </si>
  <si>
    <t>Wykaz zadań i zakupów inwestycyjnych na 2012 rok</t>
  </si>
  <si>
    <t>Lp.</t>
  </si>
  <si>
    <t>Nazwa zadania inwestycyjnego</t>
  </si>
  <si>
    <t>Źródła finansowania</t>
  </si>
  <si>
    <t>Jednostka organizacyjna realizująca lub koordynująca wykonanie zadania</t>
  </si>
  <si>
    <t>Środki unijne (art. 5 ust. 1 pkt 2 i 3 u.f.p.)</t>
  </si>
  <si>
    <t>Wkład własny</t>
  </si>
  <si>
    <t>dochody własne jst</t>
  </si>
  <si>
    <t>kredyty, pożyczki, obligacje</t>
  </si>
  <si>
    <t>dotacje i środki z innych źródeł</t>
  </si>
  <si>
    <t>GFOŚiGW</t>
  </si>
  <si>
    <t>Uwagi</t>
  </si>
  <si>
    <t>Dział 010 : ROLNICTWO I ŁOWIECTWO</t>
  </si>
  <si>
    <t>Rozdział 01010 : Infrastruktura wodociągowa i sanitacyjna wsi</t>
  </si>
  <si>
    <t xml:space="preserve">Budowa kanalizacji sanitarnej wraz z przyłączami na terenie Gminy Miłkowice: Zadanie 1: " II etap zadania Jezierzany, Jakuszów, Pątnówek, Bobrów"  - część Jakuszowa i Jezierzany Zadanie 2 "Gniewomirowice - Goślinów" Etap I Goslinów-Gniewomirowice osiedle </t>
  </si>
  <si>
    <t>pożyczka z WFOŚiGW</t>
  </si>
  <si>
    <t>Urząd Gminy   Miłkowice</t>
  </si>
  <si>
    <t>Budowa kanalizacji sanitarnej wraz z przyłączami dla miejscowości Gniewomirowice i Goślinów</t>
  </si>
  <si>
    <t>Aktualizacja dokumentacji projektowej na budowę sieci kanalizacji sanitarnej dla miejscowości Jakuszów kontynuacja i Jezierzany</t>
  </si>
  <si>
    <t>Budowa sieci wodociągowej dla osiedla domów jednorodzinnych Gniewomirowice II</t>
  </si>
  <si>
    <t xml:space="preserve">Budowa ujęcia wody dla Gminy Miłkowice (odwierty próbne)                                                                         </t>
  </si>
  <si>
    <t>Budowa sieci kanalizacji sanitarnej i wodociągowej w Miłkowicach w obrębie ulic: 15 Sierpnia, 11 Listopada, Konstytucji 3 Maja"</t>
  </si>
  <si>
    <t>Modernizacja sieci kanalizacyjnej na terenie Gminy Miłkowice</t>
  </si>
  <si>
    <t>Dotacja celowa na dofinans. inwestycji</t>
  </si>
  <si>
    <t>GZGK    w Miłkowicach</t>
  </si>
  <si>
    <t>Modernizacja sieci wodociągowej na terenie Gminy Miłkowice</t>
  </si>
  <si>
    <t>Wymiana sieci wodociągowej w Miłkowicach osiedle PKP</t>
  </si>
  <si>
    <t>Budowa sieci wodociągowej i kanalizacyjnej dla zespołu domów jednorodzinnych w Grzymalinie (dokumentacja + budowa wodociągu - etap I)</t>
  </si>
  <si>
    <t>Budowa sieci wodociągowej dla Strefy Aktywnosci Gospodarczej w Rzeszotarach (rozpoczęcie)</t>
  </si>
  <si>
    <t>Wykup gruntów, na których posadowione są przepompownie ścieków i urządzeń wodnokanalizacyjnych</t>
  </si>
  <si>
    <t>Rozdział 01042 : Wyłączenie z produkcji gruntów rolnych</t>
  </si>
  <si>
    <t>Przebudowa drogi dojazdowej do gruntów rolnych w Jakuszowie</t>
  </si>
  <si>
    <t>dotacja z Urz.Marszałk.</t>
  </si>
  <si>
    <t>Przebudowa drogi dojazdowej do gruntów rolnych w Rzeszotarach (ul.Młyńska)</t>
  </si>
  <si>
    <t>Dział 400 : WYTWARZANIE I ZAOPATRYWANIE W ENERGIĘ ELEKTRYCZNĄ, GAZ I WODĘ</t>
  </si>
  <si>
    <t>Rozdział 40004 : Dostarczanie paliw gazowych</t>
  </si>
  <si>
    <t>Koncepcja gazyfikacji Gminy Miłkowice</t>
  </si>
  <si>
    <t>Dział 600 : TRANSPORT I ŁĄCZNOŚĆ</t>
  </si>
  <si>
    <t>Rozdział 60014 : Drogi publiczne powiatowe</t>
  </si>
  <si>
    <t>Budowa chodnika z kanalizacją deszczową w miejscowości Miłkowice w ciągu drogi powiatowej nr 2210D na odcinku od km 5+415 do km 5+740, obiekt: Budowa nawierzchni chodnika</t>
  </si>
  <si>
    <t>dotacja ze Starostwa Powiatowego L-ca</t>
  </si>
  <si>
    <t xml:space="preserve">Remont chodnika w miejscowości Siedliska                                                                                                          </t>
  </si>
  <si>
    <t xml:space="preserve">Przewiert sterowany (odwodnienie) w miejscowości Rzeszotary                                                                     </t>
  </si>
  <si>
    <t>Remont drogi powiatowej nr 2214D (ul. Niedźwiedzicka) wraz z odwodnieniem w miejscowości Miłkowice</t>
  </si>
  <si>
    <t xml:space="preserve">Starostwo Powiatowe </t>
  </si>
  <si>
    <t>Rozdział 60016 : Drogi publiczne gminne</t>
  </si>
  <si>
    <t>Remont drogi Nr 258/4 w Bobrowie (fundusz sołecki)</t>
  </si>
  <si>
    <t>Budowa ciągu rowerowo pieszego w Miłkowicach</t>
  </si>
  <si>
    <t>Dział 750 : ADMINISTRACJA PUBLICZNA</t>
  </si>
  <si>
    <t>Rozdział 75023 : Urzędy gmin</t>
  </si>
  <si>
    <t>Zakup kserokopiarki do Urzędu Gminy</t>
  </si>
  <si>
    <t>Dział 754 : Bezpieczeństwo publiczne i ochrona przeciwpożarowa</t>
  </si>
  <si>
    <t>Rozdział  75412: Ochotnicze straże pożarne</t>
  </si>
  <si>
    <t>Zakup bram przemysłowych segmentowych aluminiowych typ 9000M do Remizy OSP Grzymalin</t>
  </si>
  <si>
    <t>Dotacja celowa na dofinans. zakupów  inwestycyjnych</t>
  </si>
  <si>
    <t>OSP Grzymalin</t>
  </si>
  <si>
    <t>Zakup samochodu specjalnego pożarniczego średniego dla OSP Grzymalin</t>
  </si>
  <si>
    <t>Zakup uniwersalnego narzędzia hydraulicznego rozpieracza kolumnowego dla OSP Miłkowice</t>
  </si>
  <si>
    <t>OSP Miłkowice</t>
  </si>
  <si>
    <t>Zakup sprzetu strażackiego dla OSP Miłkowice w ramach programu "Dolny Śląsk Bezpieczny Ratownik w OSP"</t>
  </si>
  <si>
    <t>Rozdział  75421: Zarządzanie kryzysowe</t>
  </si>
  <si>
    <t>Zakup sprzetu strażackiego dla OSP Rzeszotary w ramach programu "Dolny Śląsk Bezpieczny Ratownik w OSP"</t>
  </si>
  <si>
    <t>Dotacja celowa na zakup inwestycyjny</t>
  </si>
  <si>
    <t>OSP Rzeszotary</t>
  </si>
  <si>
    <t>Dział 801 : OŚWIATA I WYCHOWANIE</t>
  </si>
  <si>
    <t>Rozdział  80101: Szkoły podstawowe</t>
  </si>
  <si>
    <t>Zakup pieca do budynku Szkoły Podstawowej w Miłkowicach</t>
  </si>
  <si>
    <t>Szk.Gimn. Zesp. Szkół</t>
  </si>
  <si>
    <t>Termomodernizacja budynku szkoły podstawowej w Rzeszotarach i w Miłkowicach</t>
  </si>
  <si>
    <t>Dział 900 : GOSPODARKA KOMUNALNA I OCHRONA ŚRODOWISKA</t>
  </si>
  <si>
    <t>Rozdział  90002: Gospodarka odpadami</t>
  </si>
  <si>
    <t>Zakup pojemników do selektywnej zbiórki odpadów</t>
  </si>
  <si>
    <t>Rozdział  90005: Ochrona powietrza atmosferycznego i klimatu</t>
  </si>
  <si>
    <t>Budowa kotłowni ekologicznej dla komplesku budynków publicznych w Miłkowicach (aktualizacja dokumentacji)</t>
  </si>
  <si>
    <t>Rozdział  90015: Oświetlenie ulic placów i dróg</t>
  </si>
  <si>
    <t>Dział 921 : KULTURA I OCHRONA DZIEDZICTWA NARODOWEGO</t>
  </si>
  <si>
    <t>Rozdział  92109: Domy i ośrodki kultury, świetlice i kluby</t>
  </si>
  <si>
    <t>Remont świetlicy wiejskiej w budynku OSP Grzymalin (fundusz sołecki 13.825zł) + aktualizacja dokumentacji</t>
  </si>
  <si>
    <t>Utworzenie św. wiejskiej z segmentów kontenerowych w Goślinowie (w tym fundusz sołecki 2.000zł)</t>
  </si>
  <si>
    <t xml:space="preserve">Budowa świetlicy wiejskiej w Jakuszowie                                                                                                           </t>
  </si>
  <si>
    <t>Remont i modernizacja budynku  świetlicy wiejskiej w Miłkowicach (fundusz sołecki)</t>
  </si>
  <si>
    <t>Przebudowa i ocieplenie dachu - I etap oraz termomodernizacja elewacji - etap II budynku świetlicy wiejskiej w Miłkowicach</t>
  </si>
  <si>
    <t>Remont budynku Gminnego Ośrodka Kultury i Sportu w Siedliskach</t>
  </si>
  <si>
    <t>Dotacja celowa na zakup inw.</t>
  </si>
  <si>
    <t>GOKiS    Miłkowice</t>
  </si>
  <si>
    <t>Rozdział  92195: Pozostała działalność</t>
  </si>
  <si>
    <t>Budowa placu zabaw w Głuchowicach (fundusz sołecki)</t>
  </si>
  <si>
    <t>Rozbudowa placu zabaw wraz z budową terenu rekreacyjnego w Gniewomirowicach (fundusz sołecki)</t>
  </si>
  <si>
    <t>Budowa placu zabaw w Kochlicach (fundusz sołecki)</t>
  </si>
  <si>
    <t>Wybudowanie sceny na terenie sołectwa Siedliska (fundusz sołecki)</t>
  </si>
  <si>
    <t>Dział 926 : KULTURA FIZYCZNA</t>
  </si>
  <si>
    <t>Rozdział  92601: Obiekty sportowe</t>
  </si>
  <si>
    <t xml:space="preserve">Wyposażenie boiska sportowego w zaplecze kontenerowe szatniowo-sanitarne w Siedliskach </t>
  </si>
  <si>
    <t>Wyposażenie szatni w Siedliskach w przyłącze energetyczne oraz zagospodarowanie terenu (fundusz sołecki 4.000zł)</t>
  </si>
  <si>
    <t xml:space="preserve">Wykonanie przyłącza wodociągowego oraz zbiornika bezodpływowego na ścieki do szatni w Siedliskach </t>
  </si>
  <si>
    <t>Dotacja celowa na inwestycyje</t>
  </si>
  <si>
    <t>Przebudowa obiektu sportowego w Miłkowicach</t>
  </si>
  <si>
    <t>UG Miłkowice</t>
  </si>
  <si>
    <t>Razem wydatki inwestycyjne:</t>
  </si>
  <si>
    <r>
      <t xml:space="preserve">Budowa hydroforni wraz ze zbiornikiem w miejscowości Grzymalin                                                                 </t>
    </r>
    <r>
      <rPr>
        <b/>
        <sz val="10"/>
        <rFont val="Arial"/>
        <family val="2"/>
      </rPr>
      <t xml:space="preserve"> </t>
    </r>
  </si>
  <si>
    <r>
      <t xml:space="preserve">Budowa oświetlenia dróg i ulic na terenie Gminy Miłkowice                               </t>
    </r>
    <r>
      <rPr>
        <b/>
        <sz val="10"/>
        <rFont val="Arial"/>
        <family val="2"/>
      </rPr>
      <t xml:space="preserve">                                                   </t>
    </r>
  </si>
  <si>
    <t>Wydatki  na programy i projekty realizowane ze środków pochodzących z funduszy strukturalnych i funduszu spójności Unii na rok 2012</t>
  </si>
  <si>
    <t>L.p</t>
  </si>
  <si>
    <t>Projekt</t>
  </si>
  <si>
    <t>Kategoria interwencji funduszy strukturalnych</t>
  </si>
  <si>
    <t>Klasyfikacja (dział, rozdział)</t>
  </si>
  <si>
    <t>Okres realizacji</t>
  </si>
  <si>
    <t>Przewidywane nakłady i źródła finansowania</t>
  </si>
  <si>
    <t>Planowane wydatki budżetowe na realizację zadań w roku 2012</t>
  </si>
  <si>
    <t>źródło</t>
  </si>
  <si>
    <t>wartość zadania ogółem:</t>
  </si>
  <si>
    <t>dotychczas poniesione nakłady</t>
  </si>
  <si>
    <t>Wydatki  majątkowe  razem:</t>
  </si>
  <si>
    <t>x</t>
  </si>
  <si>
    <t>1.</t>
  </si>
  <si>
    <t>010, 01010</t>
  </si>
  <si>
    <t>2012-2013</t>
  </si>
  <si>
    <t>Wartość zadania:</t>
  </si>
  <si>
    <t xml:space="preserve"> środki z budżetu j.s.t.</t>
  </si>
  <si>
    <t>środki budżetu krajowego</t>
  </si>
  <si>
    <t>kredyty i pożyczki</t>
  </si>
  <si>
    <t xml:space="preserve"> środki z UE</t>
  </si>
  <si>
    <t>2.</t>
  </si>
  <si>
    <t>921, 92109</t>
  </si>
  <si>
    <t>2012</t>
  </si>
  <si>
    <t>Wydatki  bieżące  razem:</t>
  </si>
  <si>
    <t>801, 80101</t>
  </si>
  <si>
    <t>2011-2013</t>
  </si>
  <si>
    <t>Wartość zadania</t>
  </si>
  <si>
    <t>środki budzetu j.s.t</t>
  </si>
  <si>
    <t>środki z UE</t>
  </si>
  <si>
    <t>852, 85219</t>
  </si>
  <si>
    <t>2010-2012</t>
  </si>
  <si>
    <t>3.</t>
  </si>
  <si>
    <t>921, 92195</t>
  </si>
  <si>
    <t>4.</t>
  </si>
  <si>
    <t>5.</t>
  </si>
  <si>
    <t>6.</t>
  </si>
  <si>
    <t>7.</t>
  </si>
  <si>
    <t>8.</t>
  </si>
  <si>
    <t>9.</t>
  </si>
  <si>
    <r>
      <t xml:space="preserve">Program: </t>
    </r>
    <r>
      <rPr>
        <sz val="10"/>
        <rFont val="Arial"/>
        <family val="2"/>
      </rPr>
      <t>Program Rozwoju Obszarów Wiejskich</t>
    </r>
  </si>
  <si>
    <r>
      <t xml:space="preserve">Oś 3: </t>
    </r>
    <r>
      <rPr>
        <sz val="10"/>
        <rFont val="Arial"/>
        <family val="2"/>
      </rPr>
      <t>Jakość życia na obszarach wiejskich i zróżnicowanie gospodarki wiejskiej</t>
    </r>
  </si>
  <si>
    <r>
      <t xml:space="preserve">Działanie: </t>
    </r>
    <r>
      <rPr>
        <sz val="10"/>
        <rFont val="Arial"/>
        <family val="2"/>
      </rPr>
      <t>Podstawowe usługi dla gospodarki i ludności wiejskiej</t>
    </r>
  </si>
  <si>
    <r>
      <t xml:space="preserve">Oś 4: </t>
    </r>
    <r>
      <rPr>
        <sz val="10"/>
        <rFont val="Arial"/>
        <family val="2"/>
      </rPr>
      <t>Leader</t>
    </r>
  </si>
  <si>
    <r>
      <t xml:space="preserve">Działanie:  </t>
    </r>
    <r>
      <rPr>
        <sz val="10"/>
        <rFont val="Arial"/>
        <family val="2"/>
      </rPr>
      <t>Wdrażanie lokalnych strategii rozwoju</t>
    </r>
  </si>
  <si>
    <r>
      <t>Nazwa projektu:</t>
    </r>
    <r>
      <rPr>
        <i/>
        <sz val="10"/>
        <color indexed="8"/>
        <rFont val="Arial"/>
        <family val="2"/>
      </rPr>
      <t xml:space="preserve"> Przebudowa i ocieplenie dachu - I etap oraz termomodernizacja elewacji - etap II budynku świetlicy wiejskiej w Miłkowicach</t>
    </r>
  </si>
  <si>
    <r>
      <t>Nazwa projektu:</t>
    </r>
    <r>
      <rPr>
        <i/>
        <sz val="10"/>
        <color indexed="8"/>
        <rFont val="Arial"/>
        <family val="2"/>
      </rPr>
      <t xml:space="preserve"> Remont budynku Gminnego Ośrodka Kultury i Sportu w Siedliskach</t>
    </r>
  </si>
  <si>
    <r>
      <t xml:space="preserve">Program: </t>
    </r>
    <r>
      <rPr>
        <sz val="10"/>
        <rFont val="Arial"/>
        <family val="2"/>
      </rPr>
      <t>Europejski Fundusz Społeczny</t>
    </r>
  </si>
  <si>
    <r>
      <t>Priorytet:</t>
    </r>
    <r>
      <rPr>
        <sz val="10"/>
        <rFont val="Arial"/>
        <family val="2"/>
      </rPr>
      <t xml:space="preserve"> Rozwój wykształcenia i kompetencji w regionach</t>
    </r>
  </si>
  <si>
    <r>
      <t>Działanie:</t>
    </r>
    <r>
      <rPr>
        <sz val="10"/>
        <rFont val="Arial"/>
        <family val="2"/>
      </rPr>
      <t xml:space="preserve">  Wyrównywanie szans edukacyjnych i zapewnienie wysokiej jakości usług edukacyjnych świadczonych w systemie oświaty</t>
    </r>
  </si>
  <si>
    <r>
      <t xml:space="preserve">Nazwa projektu: </t>
    </r>
    <r>
      <rPr>
        <i/>
        <sz val="10"/>
        <color indexed="8"/>
        <rFont val="Arial"/>
        <family val="2"/>
      </rPr>
      <t>Indywidualizacja nauczania w klasach I-III w gminie Miłkowice</t>
    </r>
  </si>
  <si>
    <r>
      <t>Priorytet:</t>
    </r>
    <r>
      <rPr>
        <sz val="10"/>
        <rFont val="Arial"/>
        <family val="2"/>
      </rPr>
      <t xml:space="preserve"> Promocja integracji społecznej</t>
    </r>
  </si>
  <si>
    <r>
      <t>Działanie:</t>
    </r>
    <r>
      <rPr>
        <sz val="10"/>
        <rFont val="Arial"/>
        <family val="2"/>
      </rPr>
      <t xml:space="preserve">  Rozwój i upowszechnianie aktywnej integracji</t>
    </r>
  </si>
  <si>
    <r>
      <t xml:space="preserve">Nazwa projektu: </t>
    </r>
    <r>
      <rPr>
        <i/>
        <sz val="10"/>
        <color indexed="8"/>
        <rFont val="Arial"/>
        <family val="2"/>
      </rPr>
      <t>Razem lepiej</t>
    </r>
  </si>
  <si>
    <r>
      <t>Oś 4:</t>
    </r>
    <r>
      <rPr>
        <sz val="10"/>
        <rFont val="Arial"/>
        <family val="2"/>
      </rPr>
      <t xml:space="preserve"> Leader</t>
    </r>
  </si>
  <si>
    <r>
      <t>Działanie:</t>
    </r>
    <r>
      <rPr>
        <sz val="10"/>
        <rFont val="Arial"/>
        <family val="2"/>
      </rPr>
      <t xml:space="preserve">  Wdrażanie lokalnych strategii rozwoju</t>
    </r>
  </si>
  <si>
    <r>
      <t xml:space="preserve">Nazwa projektu: </t>
    </r>
    <r>
      <rPr>
        <i/>
        <sz val="10"/>
        <color indexed="8"/>
        <rFont val="Arial"/>
        <family val="2"/>
      </rPr>
      <t>II Festyn Integracyjny - Święto Grzymalina</t>
    </r>
  </si>
  <si>
    <r>
      <t xml:space="preserve">Nazwa projektu: </t>
    </r>
    <r>
      <rPr>
        <i/>
        <sz val="10"/>
        <color indexed="8"/>
        <rFont val="Arial"/>
        <family val="2"/>
      </rPr>
      <t>Doposażenie świetlicy w Ulesiu</t>
    </r>
  </si>
  <si>
    <r>
      <t xml:space="preserve">Nazwa projektu: </t>
    </r>
    <r>
      <rPr>
        <i/>
        <sz val="10"/>
        <color indexed="8"/>
        <rFont val="Arial"/>
        <family val="2"/>
      </rPr>
      <t>III Festyn Integracyjny we wsi Głuchowice</t>
    </r>
  </si>
  <si>
    <r>
      <t xml:space="preserve">Nazwa projektu: </t>
    </r>
    <r>
      <rPr>
        <i/>
        <sz val="10"/>
        <color indexed="8"/>
        <rFont val="Arial"/>
        <family val="2"/>
      </rPr>
      <t>Wzmocnienie aktywności KGW i społeczności lokalnej z terenu gminy Miłkowice poprzez zakup strojów</t>
    </r>
  </si>
  <si>
    <r>
      <t xml:space="preserve">Nazwa projektu: </t>
    </r>
    <r>
      <rPr>
        <i/>
        <sz val="10"/>
        <color indexed="8"/>
        <rFont val="Arial"/>
        <family val="2"/>
      </rPr>
      <t>Doposażenie świetlicy w Grzymalinie</t>
    </r>
  </si>
  <si>
    <r>
      <t xml:space="preserve">Nazwa projektu: </t>
    </r>
    <r>
      <rPr>
        <i/>
        <sz val="10"/>
        <color indexed="8"/>
        <rFont val="Arial"/>
        <family val="2"/>
      </rPr>
      <t>Odprowadzenie Księżnej - Przedstawienie historii Kolumny Łez</t>
    </r>
  </si>
  <si>
    <r>
      <t xml:space="preserve">Nazwa projektu: </t>
    </r>
    <r>
      <rPr>
        <i/>
        <sz val="10"/>
        <color indexed="8"/>
        <rFont val="Arial"/>
        <family val="2"/>
      </rPr>
      <t>III Festyn Integracyjny - Noc Świętojańska</t>
    </r>
  </si>
  <si>
    <t>Wykaz dotacji udzielanych z budżetu Gminy Miłkowice w roku 2012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</si>
  <si>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</si>
  <si>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</si>
  <si>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</si>
  <si>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</si>
  <si>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</si>
  <si>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</si>
  <si>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Infrastruktura sanitacyjna wsi</t>
  </si>
  <si>
    <t>Gminny Zakład Gospodarki komunalnej w Miłkowicach</t>
  </si>
  <si>
    <t>Dostarczanie wody</t>
  </si>
  <si>
    <t>Drogi publiczne gminne</t>
  </si>
  <si>
    <t>dotacja do 1 km dróg gminnych</t>
  </si>
  <si>
    <t>Dowożenie uczniów do szkół</t>
  </si>
  <si>
    <t>dotacja do 1 km przewozu uczniów</t>
  </si>
  <si>
    <t>Gospodarka odpadami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</si>
  <si>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</si>
  <si>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</si>
  <si>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</si>
  <si>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</si>
  <si>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</si>
  <si>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Gminny Ośrodek Kultury i Sportu w Miłkowicach</t>
  </si>
  <si>
    <t>na realizację zadań gminy z zakresu krzewienia kultury</t>
  </si>
  <si>
    <t>Biblioteki</t>
  </si>
  <si>
    <t>na realizację zadań gminy z zakresu bibliotek gminnych</t>
  </si>
  <si>
    <t>Pozostała działalność</t>
  </si>
  <si>
    <t>na realizację zadań gminy z zakresu rekreacji</t>
  </si>
  <si>
    <t>Zadania z zakresu kultury fizycznej i sportu</t>
  </si>
  <si>
    <t>na realizację zadań gminy z zakresu kultury fizycznej i sportu</t>
  </si>
  <si>
    <t xml:space="preserve">  II.2. Jednostki spoza sektora finansów publicznych</t>
  </si>
  <si>
    <t>Przedszkola</t>
  </si>
  <si>
    <t>Przedszkole Niepubliczne "Słoneczko" w Miłkowicach</t>
  </si>
  <si>
    <t xml:space="preserve">na koszty utrzymania dzieci uczęszczających do przedszkola </t>
  </si>
  <si>
    <t xml:space="preserve">na koszty utrzymania dzieci upośledzonych uczęszczających do przedszkola </t>
  </si>
  <si>
    <t xml:space="preserve">  III. Dotacje celowe</t>
  </si>
  <si>
    <t xml:space="preserve">  III.1. Jednostki sektora finansów publicznych</t>
  </si>
  <si>
    <t>Przeciwdziałanie alkoholizmowi</t>
  </si>
  <si>
    <t>na realizację programów profilaktyki rozwiązywania problemów alkoholowych</t>
  </si>
  <si>
    <t>Lecznictwo ambulatoryjne</t>
  </si>
  <si>
    <t>Gminny Ośrodek Zdrowia w Miłkowicach</t>
  </si>
  <si>
    <t>na realizację programu "Profilaktyka zdrowego kręgosłupa"</t>
  </si>
  <si>
    <t>900</t>
  </si>
  <si>
    <t>90002</t>
  </si>
  <si>
    <t>926</t>
  </si>
  <si>
    <t>92601</t>
  </si>
  <si>
    <t>Obiekty sportowe</t>
  </si>
  <si>
    <t>sąsiednie gminy</t>
  </si>
  <si>
    <t>na koszty utrzymania dzieci z terenu Gminy Miłkowice uczęszczające do przedszkoli w sąsiednich gminach</t>
  </si>
  <si>
    <t>Zbiorowy transport lokalny</t>
  </si>
  <si>
    <t>Miasto Legnica</t>
  </si>
  <si>
    <t>na komunikację publiczną Ulesie-Legnica</t>
  </si>
  <si>
    <t>Starostwo Powiatowe w  Legnicy</t>
  </si>
  <si>
    <t xml:space="preserve">  III.2. Jednostki spoza sektora finansów publicznych</t>
  </si>
  <si>
    <t>stowarzyszenia</t>
  </si>
  <si>
    <t>upowszechnianie kultury fizycznej sportu na terenie gminy</t>
  </si>
  <si>
    <t>Ochrona zabytków</t>
  </si>
  <si>
    <t>X</t>
  </si>
  <si>
    <t>na prace konserwatorskie, restauratorskie i roboty budowlane przy zabytkach</t>
  </si>
  <si>
    <t>na dofinansowanie zakupów inwestycyjnych</t>
  </si>
  <si>
    <t>Ogółem dotacje :</t>
  </si>
  <si>
    <t>w tym dotacje na zadania bieżące:</t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</si>
  <si>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ścieków</t>
    </r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</si>
  <si>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wody</t>
    </r>
  </si>
  <si>
    <r>
      <t>Ró</t>
    </r>
    <r>
      <rPr>
        <sz val="12"/>
        <rFont val="Arial"/>
        <family val="2"/>
      </rPr>
      <t>ż</t>
    </r>
    <r>
      <rPr>
        <sz val="10"/>
        <rFont val="Arial"/>
        <family val="2"/>
      </rPr>
      <t>ne jednostki obs</t>
    </r>
    <r>
      <rPr>
        <sz val="12"/>
        <rFont val="Arial"/>
        <family val="2"/>
      </rPr>
      <t>ługi gospodarki mieszkaniowej</t>
    </r>
  </si>
  <si>
    <r>
      <t xml:space="preserve">dotacja do 1 m 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powierzchni administrowanej</t>
    </r>
  </si>
  <si>
    <r>
      <t xml:space="preserve">Remont budynku Gminnego Osrodka Kultury i Sportu w Siedliskach </t>
    </r>
    <r>
      <rPr>
        <i/>
        <sz val="10"/>
        <rFont val="Arial CE"/>
        <family val="0"/>
      </rPr>
      <t>(dotacja inwestycyjna)</t>
    </r>
  </si>
  <si>
    <r>
      <t>Budowa sieci wodociągowej dla osiedla domów jednorodzinnych Gniewomirowice II (</t>
    </r>
    <r>
      <rPr>
        <i/>
        <sz val="10"/>
        <rFont val="Arial CE"/>
        <family val="2"/>
      </rPr>
      <t>dotacja inwestycyjna)</t>
    </r>
  </si>
  <si>
    <r>
      <t>Modernizacja sieci wodociągowej na terenie Gminy Miłkowice (</t>
    </r>
    <r>
      <rPr>
        <i/>
        <sz val="10"/>
        <rFont val="Arial CE"/>
        <family val="2"/>
      </rPr>
      <t>dotacja inwestycyjna)</t>
    </r>
  </si>
  <si>
    <r>
      <t>Wymiana sieci wodociągowej w Miłkowicach os. PKP (</t>
    </r>
    <r>
      <rPr>
        <i/>
        <sz val="10"/>
        <rFont val="Arial CE"/>
        <family val="2"/>
      </rPr>
      <t>dotacja inwestycyjna)</t>
    </r>
  </si>
  <si>
    <r>
      <t>Budowa wodociągu w miejscowości Grzymalin (</t>
    </r>
    <r>
      <rPr>
        <i/>
        <sz val="10"/>
        <rFont val="Arial CE"/>
        <family val="2"/>
      </rPr>
      <t>dotacja inwestycyjna)</t>
    </r>
  </si>
  <si>
    <r>
      <t>Modernizacja sieci kanalizacyjnej na terenie Gminy Miłkowice (</t>
    </r>
    <r>
      <rPr>
        <i/>
        <sz val="10"/>
        <rFont val="Arial CE"/>
        <family val="2"/>
      </rPr>
      <t>dotacja inwestycyjna)</t>
    </r>
  </si>
  <si>
    <r>
      <t>Budowa hydroforni wraz ze zbiornikiem w miejscowości Grzymalin (</t>
    </r>
    <r>
      <rPr>
        <i/>
        <sz val="10"/>
        <rFont val="Arial CE"/>
        <family val="2"/>
      </rPr>
      <t>dotacja inwestycyjna)</t>
    </r>
  </si>
  <si>
    <r>
      <t>Zakup pojemników do selektywnej zbiórki odpadów (</t>
    </r>
    <r>
      <rPr>
        <i/>
        <sz val="10"/>
        <rFont val="Arial CE"/>
        <family val="2"/>
      </rPr>
      <t>dotacja inwestycyjna)</t>
    </r>
  </si>
  <si>
    <r>
      <t>Wykonanie przyłącza wodociągowego oraz zbiornika bezodpływowego na ścieki do szatni w Siedliskach  (</t>
    </r>
    <r>
      <rPr>
        <i/>
        <sz val="10"/>
        <rFont val="Arial CE"/>
        <family val="2"/>
      </rPr>
      <t>dotacja inwestycyjna)</t>
    </r>
  </si>
  <si>
    <r>
      <t>Remont drogi powiatowej nr 2214D (ul. Niedźwiedzicka) wraz z odwodnieniem w miejscowości Miłkowice</t>
    </r>
    <r>
      <rPr>
        <i/>
        <sz val="10"/>
        <rFont val="Arial CE"/>
        <family val="0"/>
      </rPr>
      <t xml:space="preserve"> (dotacja inwestycyjna)</t>
    </r>
  </si>
  <si>
    <t>Dochody i wydatki związane z realizacją zadań z zakresu administracji rządowej i innych zadań zleconych odrębnymi ustawami w 2012 r.</t>
  </si>
  <si>
    <t>Dotacje
ogółem</t>
  </si>
  <si>
    <t>Wydatki
ogółem
(6+9)</t>
  </si>
  <si>
    <t>Wydatki
bieżące</t>
  </si>
  <si>
    <t>Wydatki
majątkowe</t>
  </si>
  <si>
    <t>wynagrodzenia i pochodne od wynagrodzeń</t>
  </si>
  <si>
    <t>świadczenia społeczne</t>
  </si>
  <si>
    <t>Ogółem</t>
  </si>
  <si>
    <t>Wykaz wydatków w ramach funduszu sołeckiego na rok 2012</t>
  </si>
  <si>
    <t>Nazwa sołectwa</t>
  </si>
  <si>
    <t>Środki funduszu przypadajace na dane sołectwo (art.2 ust.1. Ustawy o funduszu sołeckim)</t>
  </si>
  <si>
    <t>Przedsięwzięcia przewidziane do realizacji wg wniosku sołectwa</t>
  </si>
  <si>
    <t>Wydatki w ramach funduszu</t>
  </si>
  <si>
    <t>01008 §4300</t>
  </si>
  <si>
    <t>60015 §2650</t>
  </si>
  <si>
    <t>60016 §4210</t>
  </si>
  <si>
    <t>60016 §6050</t>
  </si>
  <si>
    <t>75095 §4210</t>
  </si>
  <si>
    <t>75412 §4210</t>
  </si>
  <si>
    <t>80113 §4300</t>
  </si>
  <si>
    <t>90004 §4170</t>
  </si>
  <si>
    <t>90004 §4210</t>
  </si>
  <si>
    <t>90004 §6060</t>
  </si>
  <si>
    <t>90008 §4210</t>
  </si>
  <si>
    <t>90015 §4300</t>
  </si>
  <si>
    <t>92109 §4210</t>
  </si>
  <si>
    <t>92109 §6050</t>
  </si>
  <si>
    <t>92116 §4240</t>
  </si>
  <si>
    <t>92195 §4210</t>
  </si>
  <si>
    <t>92195 §4300</t>
  </si>
  <si>
    <t>92195 §6050</t>
  </si>
  <si>
    <t>92601 §4210</t>
  </si>
  <si>
    <t>92601 §6050</t>
  </si>
  <si>
    <t>92605 §4210</t>
  </si>
  <si>
    <t>92605 §4300</t>
  </si>
  <si>
    <t>Razem:</t>
  </si>
  <si>
    <t>O1008</t>
  </si>
  <si>
    <t>Bobrów</t>
  </si>
  <si>
    <t>Remont drogi Nr 258/4</t>
  </si>
  <si>
    <t>Głuchowice</t>
  </si>
  <si>
    <t xml:space="preserve">Budowa placu zabaw </t>
  </si>
  <si>
    <t>Promocja idei odnowy wsi, poprzez m.in. organizację "Pleneru rzeźbiarskiego"</t>
  </si>
  <si>
    <t>Gniewomirowice</t>
  </si>
  <si>
    <t>Poprawa oświetlenia na terenie sołectwa - zamontowanie dodatkowych punktów świetlnych</t>
  </si>
  <si>
    <t>w.bież.</t>
  </si>
  <si>
    <t>Zakup kosiarki do utrzymania terenów zielonych</t>
  </si>
  <si>
    <t>Utrzymanie placu zabaw</t>
  </si>
  <si>
    <t>Rozbudowa placu zabaw wraz z budową terenu rekreacyjnego</t>
  </si>
  <si>
    <t>ogółem</t>
  </si>
  <si>
    <t>Goślinów</t>
  </si>
  <si>
    <t>Promocja idei odnowy wsi, poprzez m.in. organizację festynu rodzinnego</t>
  </si>
  <si>
    <t>Wybudowanie sceny na terenie sołectwa</t>
  </si>
  <si>
    <t>Naprawa wiaty przystankowej</t>
  </si>
  <si>
    <t>Adaptacja i wyposażenie świetlicy kontenerowej</t>
  </si>
  <si>
    <t>Grzymalin</t>
  </si>
  <si>
    <t>Utrzymanie i konserwacja placu zabaw</t>
  </si>
  <si>
    <t>Utrzymanie terenów zielonych</t>
  </si>
  <si>
    <t>Promocja idei odnowy wsi, poprzez m.in. organizację "Święta Grzymalina"</t>
  </si>
  <si>
    <t>Dowóz dzieci do szkoły na zajęcia pozalekcyjne</t>
  </si>
  <si>
    <t>Remont świetlicy w budynku remizy strażackiej</t>
  </si>
  <si>
    <t>Jakuszów</t>
  </si>
  <si>
    <t xml:space="preserve">Zakup tablicy informacyjnej </t>
  </si>
  <si>
    <t>Promocja idei odnowy wsi, organizacja i udział w imprezach integracyjnych</t>
  </si>
  <si>
    <t>Adaptacja  pozyskanego budynku na świetlicę</t>
  </si>
  <si>
    <t>Jezierzany</t>
  </si>
  <si>
    <t>Konserwacja rowów melioracyjnych sprzętem mechanicznym</t>
  </si>
  <si>
    <t>Kochlice</t>
  </si>
  <si>
    <t>Miłkowice</t>
  </si>
  <si>
    <t>Zakup wyposażenia gastronomiczno-rekreacyjnego</t>
  </si>
  <si>
    <t>Doposażenie w sprzęt sportowy boiska ORLIK</t>
  </si>
  <si>
    <t xml:space="preserve">Doposażenie świetlicy wiejskiej </t>
  </si>
  <si>
    <t>Zakup mundurów koszarowych dla OSP Miłkowice</t>
  </si>
  <si>
    <t>Remont budynku świetlicy wiejskiej</t>
  </si>
  <si>
    <t>Pątnówek</t>
  </si>
  <si>
    <t>Remont świetlicy wiejskiej</t>
  </si>
  <si>
    <t>Promocja idei odnowy wsi, poprzez m.in. organizację Dożynek Wiejskich</t>
  </si>
  <si>
    <t>Zagospodarowanie byłego zbiornika p.poż. Na rekreacyjny terenu rekreacyjnego</t>
  </si>
  <si>
    <t>Rzeszotary-Dobrzejów</t>
  </si>
  <si>
    <t>Remont pomieszczeń dla KGW (Promocja tradycji dziedzictwa kulturowego)</t>
  </si>
  <si>
    <t>Doposażenie OSP w piłę łańcuchową</t>
  </si>
  <si>
    <t xml:space="preserve">Zakup namiotu rekreacyjnego </t>
  </si>
  <si>
    <t>Zagospodarowanie terenu sportowo-rekreacyjnego w Dobrzejowie</t>
  </si>
  <si>
    <t>Dofinansowanie sekcji szachowo warcabowej</t>
  </si>
  <si>
    <t>Zakup strojów sportowych dla drużyny młodzików</t>
  </si>
  <si>
    <t>Remont budynku świetlicy a OSP Rzeszotary (aktualizacja)</t>
  </si>
  <si>
    <t>Siedliska</t>
  </si>
  <si>
    <t>Zakup namiotu rekreacyjnego wraz z ławo-stołami</t>
  </si>
  <si>
    <t>Promocja idei odnowy wsi, poprzez m.in. organizację Dożynek Gminnych</t>
  </si>
  <si>
    <t>Wsparcie działań sportowych drużyn młodzików i juniorów</t>
  </si>
  <si>
    <t>Budowa szatni - dokumentacja</t>
  </si>
  <si>
    <t>Studnica</t>
  </si>
  <si>
    <t>Remont i doposażenie świetlicy wiejskiej</t>
  </si>
  <si>
    <t>Ulesie-Lipce</t>
  </si>
  <si>
    <t>Doposażenie świetlicy środowiskowej</t>
  </si>
  <si>
    <t>Zakup książek do Biblioteki w Ulesiu</t>
  </si>
  <si>
    <t xml:space="preserve">Suma środków przypadajaca na  wszystkie sołectwa </t>
  </si>
  <si>
    <t>Razem wydatki:</t>
  </si>
  <si>
    <t>Plan wydatków realizowanych w ramach funduszu sołeckiego w układzie działów i rozdziałów klasyfikacji budżetowej</t>
  </si>
  <si>
    <t>Wydatki majątkowe</t>
  </si>
  <si>
    <t>Wydatki bieżące</t>
  </si>
  <si>
    <t>01008</t>
  </si>
  <si>
    <t>600</t>
  </si>
  <si>
    <t>750</t>
  </si>
  <si>
    <t>754</t>
  </si>
  <si>
    <t>921</t>
  </si>
  <si>
    <t>Suma</t>
  </si>
  <si>
    <t>75412 §6060</t>
  </si>
  <si>
    <t>w tym dotacja na inw. dla GZGK 100.710</t>
  </si>
  <si>
    <t xml:space="preserve">Planowane wydatki w roku 2012   </t>
  </si>
  <si>
    <t>Doposażenie OSP w Rzeszotarach w piłę łańcuchową (fundusz sołecki 4.800zł)</t>
  </si>
  <si>
    <t xml:space="preserve">Remont świetlicy wiejskiej i remizy OSP w Rzeszotarach (fundusz sołecki 7.200)                                      </t>
  </si>
  <si>
    <r>
      <t>Budowa sieci wodociągowej dla Strefy Aktywności Gospodarczej w Rzeszotarach (</t>
    </r>
    <r>
      <rPr>
        <i/>
        <sz val="10"/>
        <rFont val="Arial CE"/>
        <family val="2"/>
      </rPr>
      <t>dotacja inwestycyjna)</t>
    </r>
  </si>
  <si>
    <r>
      <t xml:space="preserve">Nazwa Projektu: </t>
    </r>
    <r>
      <rPr>
        <i/>
        <sz val="10"/>
        <color indexed="8"/>
        <rFont val="Arial"/>
        <family val="2"/>
      </rPr>
      <t>Budowa kanalizacji sanitarnej wraz z przyłączami na terenie Gminy Miłkowice: Zadanie 1: " II etap zadania Jezierzany, Jakuszów, Pątnówek, Bobrów"  - część Jakuszowa i Jezierzany Zadanie 2 "Gniewomirowice - Goślinów" Etap I Goslinów-Gniewomirowice</t>
    </r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</si>
</sst>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</numFmts>
  <fonts count="6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5"/>
      <color indexed="8"/>
      <name val="Arial"/>
      <family val="0"/>
    </font>
    <font>
      <b/>
      <sz val="12"/>
      <name val="Arial CE"/>
      <family val="2"/>
    </font>
    <font>
      <sz val="10"/>
      <name val="Arial CE"/>
      <family val="0"/>
    </font>
    <font>
      <sz val="8"/>
      <name val="Arial"/>
      <family val="0"/>
    </font>
    <font>
      <b/>
      <sz val="12"/>
      <name val="Arial"/>
      <family val="2"/>
    </font>
    <font>
      <sz val="10"/>
      <name val="Arial"/>
      <family val="0"/>
    </font>
    <font>
      <b/>
      <sz val="5.5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14"/>
      <name val="Arial CE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 CE"/>
      <family val="2"/>
    </font>
    <font>
      <b/>
      <sz val="9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7"/>
      <name val="Arial"/>
      <family val="2"/>
    </font>
    <font>
      <sz val="7"/>
      <name val="Arial CE"/>
      <family val="2"/>
    </font>
    <font>
      <i/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sz val="11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sz val="10"/>
      <color indexed="53"/>
      <name val="Arial"/>
      <family val="2"/>
    </font>
    <font>
      <sz val="10"/>
      <name val="Times New Roman CE"/>
      <family val="1"/>
    </font>
    <font>
      <sz val="9"/>
      <name val="Arial CE"/>
      <family val="2"/>
    </font>
    <font>
      <sz val="6"/>
      <name val="Arial CE"/>
      <family val="2"/>
    </font>
    <font>
      <b/>
      <i/>
      <sz val="10"/>
      <name val="Arial CE"/>
      <family val="2"/>
    </font>
    <font>
      <vertAlign val="superscript"/>
      <sz val="10"/>
      <name val="Arial CE"/>
      <family val="2"/>
    </font>
    <font>
      <i/>
      <sz val="10"/>
      <name val="Arial CE"/>
      <family val="0"/>
    </font>
    <font>
      <b/>
      <sz val="11"/>
      <name val="Arial CE"/>
      <family val="2"/>
    </font>
    <font>
      <b/>
      <sz val="14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medium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</borders>
  <cellStyleXfs count="74">
    <xf numFmtId="0" fontId="1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164" fontId="10" fillId="0" borderId="0" applyFill="0" applyBorder="0" applyAlignment="0" applyProtection="0"/>
    <xf numFmtId="41" fontId="13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0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9" fontId="13" fillId="0" borderId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23" borderId="9" applyNumberFormat="0" applyAlignment="0" applyProtection="0"/>
    <xf numFmtId="44" fontId="13" fillId="0" borderId="0" applyFill="0" applyBorder="0" applyAlignment="0" applyProtection="0"/>
    <xf numFmtId="42" fontId="13" fillId="0" borderId="0" applyFill="0" applyBorder="0" applyAlignment="0" applyProtection="0"/>
    <xf numFmtId="0" fontId="32" fillId="3" borderId="0" applyNumberFormat="0" applyBorder="0" applyAlignment="0" applyProtection="0"/>
  </cellStyleXfs>
  <cellXfs count="578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4" borderId="0" xfId="0" applyAlignment="1">
      <alignment horizontal="center" vertical="center" wrapText="1"/>
    </xf>
    <xf numFmtId="49" fontId="0" fillId="25" borderId="10" xfId="0" applyAlignment="1">
      <alignment horizontal="center" vertical="center" wrapText="1"/>
    </xf>
    <xf numFmtId="49" fontId="5" fillId="25" borderId="10" xfId="0" applyAlignment="1">
      <alignment horizontal="center" vertical="center" wrapText="1"/>
    </xf>
    <xf numFmtId="49" fontId="2" fillId="25" borderId="10" xfId="0" applyAlignment="1">
      <alignment horizontal="center" vertical="center" wrapText="1"/>
    </xf>
    <xf numFmtId="49" fontId="5" fillId="25" borderId="10" xfId="0" applyAlignment="1">
      <alignment horizontal="right" vertical="center" wrapText="1"/>
    </xf>
    <xf numFmtId="49" fontId="6" fillId="24" borderId="11" xfId="0" applyAlignment="1">
      <alignment horizontal="right" vertical="center" wrapText="1"/>
    </xf>
    <xf numFmtId="49" fontId="6" fillId="24" borderId="10" xfId="0" applyAlignment="1">
      <alignment horizontal="right" vertical="center" wrapText="1"/>
    </xf>
    <xf numFmtId="49" fontId="5" fillId="24" borderId="10" xfId="0" applyAlignment="1">
      <alignment horizontal="right" vertical="center" wrapText="1"/>
    </xf>
    <xf numFmtId="49" fontId="7" fillId="24" borderId="10" xfId="0" applyAlignment="1">
      <alignment horizontal="right" vertical="center" wrapText="1"/>
    </xf>
    <xf numFmtId="1" fontId="1" fillId="24" borderId="0" xfId="0" applyAlignment="1">
      <alignment horizontal="center" vertical="center" wrapText="1" shrinkToFit="1"/>
    </xf>
    <xf numFmtId="0" fontId="8" fillId="25" borderId="10" xfId="0" applyAlignment="1">
      <alignment horizontal="center" vertical="center" wrapText="1" shrinkToFit="1"/>
    </xf>
    <xf numFmtId="0" fontId="8" fillId="25" borderId="12" xfId="0" applyAlignment="1">
      <alignment horizontal="right" vertical="center" wrapText="1" shrinkToFit="1"/>
    </xf>
    <xf numFmtId="4" fontId="14" fillId="24" borderId="10" xfId="0" applyNumberFormat="1" applyFont="1" applyBorder="1" applyAlignment="1">
      <alignment horizontal="right" vertical="center" wrapText="1" shrinkToFit="1"/>
    </xf>
    <xf numFmtId="4" fontId="8" fillId="25" borderId="13" xfId="0" applyNumberFormat="1" applyBorder="1" applyAlignment="1">
      <alignment horizontal="right" vertical="center" wrapText="1" shrinkToFit="1"/>
    </xf>
    <xf numFmtId="4" fontId="14" fillId="24" borderId="14" xfId="0" applyNumberFormat="1" applyFont="1" applyBorder="1" applyAlignment="1">
      <alignment horizontal="right" vertical="center" wrapText="1" shrinkToFit="1"/>
    </xf>
    <xf numFmtId="0" fontId="8" fillId="25" borderId="10" xfId="0" applyAlignment="1">
      <alignment horizontal="left" vertical="center" wrapText="1" shrinkToFit="1"/>
    </xf>
    <xf numFmtId="0" fontId="8" fillId="25" borderId="10" xfId="0" applyAlignment="1">
      <alignment horizontal="right" vertical="center" wrapText="1" shrinkToFit="1"/>
    </xf>
    <xf numFmtId="0" fontId="8" fillId="25" borderId="12" xfId="0" applyAlignment="1">
      <alignment horizontal="left" vertical="center" wrapText="1" shrinkToFit="1"/>
    </xf>
    <xf numFmtId="0" fontId="10" fillId="0" borderId="0" xfId="59" applyFill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8" fillId="25" borderId="10" xfId="0" applyFont="1" applyAlignment="1">
      <alignment horizontal="center" vertical="center" wrapText="1" shrinkToFit="1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1" fontId="8" fillId="24" borderId="0" xfId="0" applyFont="1" applyAlignment="1">
      <alignment horizontal="center" vertical="center" wrapText="1" shrinkToFit="1"/>
    </xf>
    <xf numFmtId="4" fontId="8" fillId="25" borderId="10" xfId="0" applyNumberFormat="1" applyAlignment="1">
      <alignment horizontal="right" vertical="center" wrapText="1" shrinkToFit="1"/>
    </xf>
    <xf numFmtId="4" fontId="8" fillId="25" borderId="12" xfId="0" applyNumberFormat="1" applyAlignment="1">
      <alignment horizontal="right" vertical="center" wrapText="1" shrinkToFit="1"/>
    </xf>
    <xf numFmtId="0" fontId="8" fillId="25" borderId="13" xfId="0" applyBorder="1" applyAlignment="1">
      <alignment horizontal="left" vertical="center" wrapText="1" shrinkToFit="1"/>
    </xf>
    <xf numFmtId="0" fontId="14" fillId="25" borderId="14" xfId="0" applyFont="1" applyBorder="1" applyAlignment="1">
      <alignment horizontal="left" vertical="center" wrapText="1" shrinkToFit="1"/>
    </xf>
    <xf numFmtId="0" fontId="14" fillId="25" borderId="10" xfId="0" applyFont="1" applyBorder="1" applyAlignment="1">
      <alignment horizontal="left" vertical="center" wrapText="1" shrinkToFit="1"/>
    </xf>
    <xf numFmtId="0" fontId="14" fillId="25" borderId="15" xfId="0" applyFont="1" applyBorder="1" applyAlignment="1">
      <alignment horizontal="left" vertical="center" wrapText="1" shrinkToFit="1"/>
    </xf>
    <xf numFmtId="4" fontId="14" fillId="24" borderId="15" xfId="0" applyNumberFormat="1" applyFont="1" applyBorder="1" applyAlignment="1">
      <alignment horizontal="right" vertical="center" wrapText="1" shrinkToFit="1"/>
    </xf>
    <xf numFmtId="0" fontId="34" fillId="0" borderId="0" xfId="61" applyFont="1" applyAlignment="1">
      <alignment vertical="center" wrapText="1"/>
      <protection/>
    </xf>
    <xf numFmtId="0" fontId="35" fillId="0" borderId="0" xfId="61" applyFont="1">
      <alignment/>
      <protection/>
    </xf>
    <xf numFmtId="0" fontId="36" fillId="0" borderId="0" xfId="61" applyFont="1">
      <alignment/>
      <protection/>
    </xf>
    <xf numFmtId="3" fontId="36" fillId="0" borderId="0" xfId="61" applyNumberFormat="1" applyFont="1">
      <alignment/>
      <protection/>
    </xf>
    <xf numFmtId="0" fontId="33" fillId="0" borderId="0" xfId="61" applyFont="1" applyAlignment="1">
      <alignment horizontal="center" vertical="center"/>
      <protection/>
    </xf>
    <xf numFmtId="0" fontId="37" fillId="0" borderId="0" xfId="61" applyFont="1" applyAlignment="1">
      <alignment textRotation="180"/>
      <protection/>
    </xf>
    <xf numFmtId="0" fontId="37" fillId="0" borderId="16" xfId="61" applyFont="1" applyFill="1" applyBorder="1" applyAlignment="1">
      <alignment horizontal="center" vertical="center" wrapText="1"/>
      <protection/>
    </xf>
    <xf numFmtId="0" fontId="37" fillId="0" borderId="0" xfId="61" applyFont="1" applyFill="1" applyAlignment="1">
      <alignment textRotation="180"/>
      <protection/>
    </xf>
    <xf numFmtId="0" fontId="36" fillId="0" borderId="0" xfId="61" applyFont="1" applyFill="1" applyAlignment="1">
      <alignment vertical="center" wrapText="1"/>
      <protection/>
    </xf>
    <xf numFmtId="0" fontId="37" fillId="0" borderId="17" xfId="61" applyFont="1" applyFill="1" applyBorder="1" applyAlignment="1">
      <alignment horizontal="center" vertical="center" wrapText="1"/>
      <protection/>
    </xf>
    <xf numFmtId="0" fontId="40" fillId="0" borderId="13" xfId="61" applyFont="1" applyFill="1" applyBorder="1" applyAlignment="1">
      <alignment horizontal="center" vertical="center" wrapText="1"/>
      <protection/>
    </xf>
    <xf numFmtId="0" fontId="40" fillId="0" borderId="18" xfId="61" applyFont="1" applyFill="1" applyBorder="1" applyAlignment="1">
      <alignment horizontal="center" vertical="center" wrapText="1"/>
      <protection/>
    </xf>
    <xf numFmtId="0" fontId="42" fillId="0" borderId="19" xfId="61" applyFont="1" applyFill="1" applyBorder="1" applyAlignment="1">
      <alignment horizontal="center" vertical="center" wrapText="1"/>
      <protection/>
    </xf>
    <xf numFmtId="0" fontId="42" fillId="0" borderId="13" xfId="61" applyFont="1" applyFill="1" applyBorder="1" applyAlignment="1">
      <alignment horizontal="center" vertical="center" wrapText="1"/>
      <protection/>
    </xf>
    <xf numFmtId="0" fontId="43" fillId="0" borderId="13" xfId="61" applyFont="1" applyFill="1" applyBorder="1" applyAlignment="1">
      <alignment horizontal="center" vertical="center" wrapText="1"/>
      <protection/>
    </xf>
    <xf numFmtId="0" fontId="43" fillId="0" borderId="20" xfId="61" applyFont="1" applyFill="1" applyBorder="1" applyAlignment="1">
      <alignment horizontal="center" vertical="center" wrapText="1"/>
      <protection/>
    </xf>
    <xf numFmtId="0" fontId="42" fillId="0" borderId="0" xfId="61" applyFont="1" applyFill="1" applyAlignment="1">
      <alignment horizontal="center" textRotation="180"/>
      <protection/>
    </xf>
    <xf numFmtId="0" fontId="42" fillId="0" borderId="0" xfId="61" applyFont="1" applyFill="1" applyAlignment="1">
      <alignment horizontal="center" vertical="center" wrapText="1"/>
      <protection/>
    </xf>
    <xf numFmtId="3" fontId="37" fillId="0" borderId="21" xfId="61" applyNumberFormat="1" applyFont="1" applyFill="1" applyBorder="1" applyAlignment="1">
      <alignment vertical="center" wrapText="1"/>
      <protection/>
    </xf>
    <xf numFmtId="3" fontId="37" fillId="0" borderId="22" xfId="61" applyNumberFormat="1" applyFont="1" applyFill="1" applyBorder="1" applyAlignment="1">
      <alignment vertical="center" wrapText="1"/>
      <protection/>
    </xf>
    <xf numFmtId="3" fontId="13" fillId="0" borderId="23" xfId="61" applyNumberFormat="1" applyFont="1" applyFill="1" applyBorder="1" applyAlignment="1">
      <alignment horizontal="center" vertical="center" wrapText="1"/>
      <protection/>
    </xf>
    <xf numFmtId="3" fontId="44" fillId="0" borderId="24" xfId="61" applyNumberFormat="1" applyFont="1" applyFill="1" applyBorder="1" applyAlignment="1">
      <alignment vertical="center" wrapText="1"/>
      <protection/>
    </xf>
    <xf numFmtId="3" fontId="44" fillId="0" borderId="25" xfId="61" applyNumberFormat="1" applyFont="1" applyFill="1" applyBorder="1" applyAlignment="1">
      <alignment vertical="center" wrapText="1"/>
      <protection/>
    </xf>
    <xf numFmtId="3" fontId="13" fillId="0" borderId="26" xfId="61" applyNumberFormat="1" applyFont="1" applyFill="1" applyBorder="1" applyAlignment="1">
      <alignment horizontal="center" vertical="center" wrapText="1"/>
      <protection/>
    </xf>
    <xf numFmtId="0" fontId="13" fillId="0" borderId="27" xfId="61" applyFont="1" applyFill="1" applyBorder="1" applyAlignment="1">
      <alignment horizontal="center" vertical="center" wrapText="1"/>
      <protection/>
    </xf>
    <xf numFmtId="0" fontId="13" fillId="0" borderId="28" xfId="61" applyFont="1" applyFill="1" applyBorder="1" applyAlignment="1">
      <alignment horizontal="left" vertical="center" wrapText="1"/>
      <protection/>
    </xf>
    <xf numFmtId="3" fontId="36" fillId="0" borderId="10" xfId="61" applyNumberFormat="1" applyFont="1" applyFill="1" applyBorder="1" applyAlignment="1">
      <alignment vertical="center" wrapText="1"/>
      <protection/>
    </xf>
    <xf numFmtId="3" fontId="36" fillId="0" borderId="28" xfId="61" applyNumberFormat="1" applyFont="1" applyFill="1" applyBorder="1" applyAlignment="1">
      <alignment vertical="center" wrapText="1"/>
      <protection/>
    </xf>
    <xf numFmtId="3" fontId="36" fillId="0" borderId="29" xfId="61" applyNumberFormat="1" applyFont="1" applyFill="1" applyBorder="1" applyAlignment="1">
      <alignment vertical="center" wrapText="1"/>
      <protection/>
    </xf>
    <xf numFmtId="3" fontId="45" fillId="0" borderId="28" xfId="62" applyNumberFormat="1" applyFont="1" applyFill="1" applyBorder="1" applyAlignment="1">
      <alignment horizontal="center" vertical="center" wrapText="1"/>
      <protection/>
    </xf>
    <xf numFmtId="3" fontId="13" fillId="0" borderId="30" xfId="61" applyNumberFormat="1" applyFont="1" applyFill="1" applyBorder="1" applyAlignment="1">
      <alignment horizontal="center" vertical="center" wrapText="1"/>
      <protection/>
    </xf>
    <xf numFmtId="0" fontId="13" fillId="0" borderId="10" xfId="62" applyFont="1" applyFill="1" applyBorder="1" applyAlignment="1">
      <alignment vertical="center" wrapText="1"/>
      <protection/>
    </xf>
    <xf numFmtId="3" fontId="45" fillId="0" borderId="28" xfId="61" applyNumberFormat="1" applyFont="1" applyFill="1" applyBorder="1" applyAlignment="1">
      <alignment horizontal="center" vertical="center" wrapText="1"/>
      <protection/>
    </xf>
    <xf numFmtId="3" fontId="11" fillId="0" borderId="28" xfId="61" applyNumberFormat="1" applyFont="1" applyFill="1" applyBorder="1" applyAlignment="1">
      <alignment horizontal="center" vertical="center" wrapText="1"/>
      <protection/>
    </xf>
    <xf numFmtId="0" fontId="13" fillId="0" borderId="10" xfId="61" applyFont="1" applyFill="1" applyBorder="1" applyAlignment="1">
      <alignment vertical="center" wrapText="1"/>
      <protection/>
    </xf>
    <xf numFmtId="0" fontId="13" fillId="0" borderId="31" xfId="61" applyFont="1" applyFill="1" applyBorder="1" applyAlignment="1">
      <alignment vertical="center" wrapText="1"/>
      <protection/>
    </xf>
    <xf numFmtId="3" fontId="36" fillId="0" borderId="31" xfId="61" applyNumberFormat="1" applyFont="1" applyFill="1" applyBorder="1" applyAlignment="1">
      <alignment vertical="center" wrapText="1"/>
      <protection/>
    </xf>
    <xf numFmtId="3" fontId="36" fillId="0" borderId="32" xfId="61" applyNumberFormat="1" applyFont="1" applyFill="1" applyBorder="1" applyAlignment="1">
      <alignment vertical="center" wrapText="1"/>
      <protection/>
    </xf>
    <xf numFmtId="3" fontId="13" fillId="0" borderId="20" xfId="61" applyNumberFormat="1" applyFont="1" applyFill="1" applyBorder="1" applyAlignment="1">
      <alignment horizontal="center" vertical="center" wrapText="1"/>
      <protection/>
    </xf>
    <xf numFmtId="0" fontId="13" fillId="0" borderId="33" xfId="62" applyFont="1" applyFill="1" applyBorder="1" applyAlignment="1">
      <alignment horizontal="center" vertical="center" wrapText="1"/>
      <protection/>
    </xf>
    <xf numFmtId="0" fontId="13" fillId="0" borderId="34" xfId="62" applyFont="1" applyFill="1" applyBorder="1" applyAlignment="1">
      <alignment horizontal="left" vertical="center" wrapText="1"/>
      <protection/>
    </xf>
    <xf numFmtId="3" fontId="36" fillId="0" borderId="34" xfId="62" applyNumberFormat="1" applyFont="1" applyFill="1" applyBorder="1" applyAlignment="1">
      <alignment vertical="center" wrapText="1"/>
      <protection/>
    </xf>
    <xf numFmtId="3" fontId="47" fillId="0" borderId="34" xfId="62" applyNumberFormat="1" applyFont="1" applyFill="1" applyBorder="1" applyAlignment="1">
      <alignment vertical="center" wrapText="1"/>
      <protection/>
    </xf>
    <xf numFmtId="0" fontId="37" fillId="0" borderId="0" xfId="62" applyFont="1" applyFill="1" applyAlignment="1">
      <alignment textRotation="180"/>
      <protection/>
    </xf>
    <xf numFmtId="0" fontId="36" fillId="0" borderId="0" xfId="62" applyFont="1" applyFill="1" applyAlignment="1">
      <alignment vertical="center" wrapText="1"/>
      <protection/>
    </xf>
    <xf numFmtId="0" fontId="13" fillId="0" borderId="35" xfId="62" applyFont="1" applyFill="1" applyBorder="1" applyAlignment="1">
      <alignment horizontal="center" vertical="center" wrapText="1"/>
      <protection/>
    </xf>
    <xf numFmtId="0" fontId="13" fillId="0" borderId="36" xfId="62" applyFont="1" applyFill="1" applyBorder="1" applyAlignment="1">
      <alignment horizontal="left" vertical="center" wrapText="1"/>
      <protection/>
    </xf>
    <xf numFmtId="3" fontId="36" fillId="0" borderId="31" xfId="62" applyNumberFormat="1" applyFont="1" applyFill="1" applyBorder="1" applyAlignment="1">
      <alignment vertical="center" wrapText="1"/>
      <protection/>
    </xf>
    <xf numFmtId="3" fontId="47" fillId="0" borderId="36" xfId="62" applyNumberFormat="1" applyFont="1" applyFill="1" applyBorder="1" applyAlignment="1">
      <alignment vertical="center" wrapText="1"/>
      <protection/>
    </xf>
    <xf numFmtId="3" fontId="36" fillId="0" borderId="36" xfId="62" applyNumberFormat="1" applyFont="1" applyFill="1" applyBorder="1" applyAlignment="1">
      <alignment vertical="center" wrapText="1"/>
      <protection/>
    </xf>
    <xf numFmtId="3" fontId="13" fillId="0" borderId="37" xfId="61" applyNumberFormat="1" applyFont="1" applyFill="1" applyBorder="1" applyAlignment="1">
      <alignment horizontal="center" vertical="center" wrapText="1"/>
      <protection/>
    </xf>
    <xf numFmtId="3" fontId="45" fillId="0" borderId="28" xfId="62" applyNumberFormat="1" applyFont="1" applyFill="1" applyBorder="1" applyAlignment="1">
      <alignment vertical="center" wrapText="1"/>
      <protection/>
    </xf>
    <xf numFmtId="3" fontId="37" fillId="0" borderId="38" xfId="61" applyNumberFormat="1" applyFont="1" applyFill="1" applyBorder="1" applyAlignment="1">
      <alignment vertical="center" wrapText="1"/>
      <protection/>
    </xf>
    <xf numFmtId="3" fontId="37" fillId="0" borderId="39" xfId="61" applyNumberFormat="1" applyFont="1" applyFill="1" applyBorder="1" applyAlignment="1">
      <alignment vertical="center" wrapText="1"/>
      <protection/>
    </xf>
    <xf numFmtId="3" fontId="13" fillId="0" borderId="40" xfId="61" applyNumberFormat="1" applyFont="1" applyFill="1" applyBorder="1" applyAlignment="1">
      <alignment horizontal="center" vertical="center" wrapText="1"/>
      <protection/>
    </xf>
    <xf numFmtId="0" fontId="13" fillId="0" borderId="27" xfId="62" applyFont="1" applyFill="1" applyBorder="1" applyAlignment="1">
      <alignment horizontal="center" vertical="center" wrapText="1"/>
      <protection/>
    </xf>
    <xf numFmtId="0" fontId="13" fillId="0" borderId="28" xfId="62" applyFont="1" applyFill="1" applyBorder="1" applyAlignment="1">
      <alignment horizontal="left" vertical="center" wrapText="1"/>
      <protection/>
    </xf>
    <xf numFmtId="3" fontId="36" fillId="0" borderId="10" xfId="62" applyNumberFormat="1" applyFont="1" applyFill="1" applyBorder="1" applyAlignment="1">
      <alignment vertical="center" wrapText="1"/>
      <protection/>
    </xf>
    <xf numFmtId="3" fontId="47" fillId="0" borderId="28" xfId="62" applyNumberFormat="1" applyFont="1" applyFill="1" applyBorder="1" applyAlignment="1">
      <alignment vertical="center" wrapText="1"/>
      <protection/>
    </xf>
    <xf numFmtId="3" fontId="36" fillId="0" borderId="28" xfId="62" applyNumberFormat="1" applyFont="1" applyFill="1" applyBorder="1" applyAlignment="1">
      <alignment vertical="center" wrapText="1"/>
      <protection/>
    </xf>
    <xf numFmtId="3" fontId="45" fillId="0" borderId="41" xfId="62" applyNumberFormat="1" applyFont="1" applyFill="1" applyBorder="1" applyAlignment="1">
      <alignment vertical="center" wrapText="1"/>
      <protection/>
    </xf>
    <xf numFmtId="3" fontId="45" fillId="0" borderId="10" xfId="62" applyNumberFormat="1" applyFont="1" applyFill="1" applyBorder="1" applyAlignment="1">
      <alignment vertical="center" wrapText="1"/>
      <protection/>
    </xf>
    <xf numFmtId="3" fontId="13" fillId="0" borderId="42" xfId="61" applyNumberFormat="1" applyFont="1" applyFill="1" applyBorder="1" applyAlignment="1">
      <alignment vertical="center" wrapText="1"/>
      <protection/>
    </xf>
    <xf numFmtId="0" fontId="13" fillId="0" borderId="43" xfId="62" applyFont="1" applyFill="1" applyBorder="1" applyAlignment="1">
      <alignment horizontal="center" vertical="center" wrapText="1"/>
      <protection/>
    </xf>
    <xf numFmtId="3" fontId="45" fillId="0" borderId="36" xfId="62" applyNumberFormat="1" applyFont="1" applyFill="1" applyBorder="1" applyAlignment="1">
      <alignment vertical="center" wrapText="1"/>
      <protection/>
    </xf>
    <xf numFmtId="0" fontId="13" fillId="0" borderId="44" xfId="62" applyFont="1" applyFill="1" applyBorder="1" applyAlignment="1">
      <alignment horizontal="center" vertical="center" wrapText="1"/>
      <protection/>
    </xf>
    <xf numFmtId="0" fontId="13" fillId="0" borderId="45" xfId="62" applyFont="1" applyFill="1" applyBorder="1" applyAlignment="1">
      <alignment horizontal="left" vertical="center" wrapText="1"/>
      <protection/>
    </xf>
    <xf numFmtId="3" fontId="36" fillId="0" borderId="45" xfId="62" applyNumberFormat="1" applyFont="1" applyFill="1" applyBorder="1" applyAlignment="1">
      <alignment vertical="center" wrapText="1"/>
      <protection/>
    </xf>
    <xf numFmtId="3" fontId="47" fillId="0" borderId="45" xfId="62" applyNumberFormat="1" applyFont="1" applyFill="1" applyBorder="1" applyAlignment="1">
      <alignment vertical="center" wrapText="1"/>
      <protection/>
    </xf>
    <xf numFmtId="4" fontId="37" fillId="0" borderId="21" xfId="56" applyNumberFormat="1" applyFont="1" applyFill="1" applyBorder="1" applyAlignment="1">
      <alignment vertical="center" wrapText="1"/>
      <protection/>
    </xf>
    <xf numFmtId="3" fontId="37" fillId="0" borderId="21" xfId="56" applyNumberFormat="1" applyFont="1" applyFill="1" applyBorder="1" applyAlignment="1">
      <alignment vertical="center" wrapText="1"/>
      <protection/>
    </xf>
    <xf numFmtId="0" fontId="13" fillId="0" borderId="23" xfId="61" applyFont="1" applyFill="1" applyBorder="1" applyAlignment="1">
      <alignment horizontal="center" vertical="center" wrapText="1"/>
      <protection/>
    </xf>
    <xf numFmtId="0" fontId="37" fillId="0" borderId="0" xfId="56" applyFont="1" applyFill="1" applyAlignment="1">
      <alignment textRotation="180"/>
      <protection/>
    </xf>
    <xf numFmtId="0" fontId="36" fillId="0" borderId="0" xfId="56" applyFont="1" applyFill="1" applyAlignment="1">
      <alignment vertical="center" wrapText="1"/>
      <protection/>
    </xf>
    <xf numFmtId="4" fontId="44" fillId="0" borderId="24" xfId="56" applyNumberFormat="1" applyFont="1" applyFill="1" applyBorder="1" applyAlignment="1">
      <alignment vertical="center" wrapText="1"/>
      <protection/>
    </xf>
    <xf numFmtId="3" fontId="44" fillId="0" borderId="24" xfId="56" applyNumberFormat="1" applyFont="1" applyFill="1" applyBorder="1" applyAlignment="1">
      <alignment vertical="center" wrapText="1"/>
      <protection/>
    </xf>
    <xf numFmtId="0" fontId="13" fillId="0" borderId="26" xfId="61" applyFont="1" applyFill="1" applyBorder="1" applyAlignment="1">
      <alignment horizontal="center" vertical="center" wrapText="1"/>
      <protection/>
    </xf>
    <xf numFmtId="0" fontId="36" fillId="0" borderId="46" xfId="61" applyFont="1" applyFill="1" applyBorder="1" applyAlignment="1">
      <alignment horizontal="center" vertical="center" wrapText="1"/>
      <protection/>
    </xf>
    <xf numFmtId="0" fontId="13" fillId="0" borderId="41" xfId="61" applyFont="1" applyFill="1" applyBorder="1" applyAlignment="1">
      <alignment vertical="center" wrapText="1"/>
      <protection/>
    </xf>
    <xf numFmtId="3" fontId="36" fillId="0" borderId="41" xfId="61" applyNumberFormat="1" applyFont="1" applyFill="1" applyBorder="1" applyAlignment="1">
      <alignment vertical="center" wrapText="1"/>
      <protection/>
    </xf>
    <xf numFmtId="3" fontId="13" fillId="0" borderId="47" xfId="61" applyNumberFormat="1" applyFont="1" applyFill="1" applyBorder="1" applyAlignment="1">
      <alignment horizontal="center" vertical="center" wrapText="1"/>
      <protection/>
    </xf>
    <xf numFmtId="0" fontId="36" fillId="0" borderId="27" xfId="61" applyFont="1" applyFill="1" applyBorder="1" applyAlignment="1">
      <alignment horizontal="center" vertical="center" wrapText="1"/>
      <protection/>
    </xf>
    <xf numFmtId="0" fontId="13" fillId="0" borderId="28" xfId="61" applyFont="1" applyFill="1" applyBorder="1" applyAlignment="1">
      <alignment vertical="center" wrapText="1"/>
      <protection/>
    </xf>
    <xf numFmtId="3" fontId="36" fillId="0" borderId="48" xfId="61" applyNumberFormat="1" applyFont="1" applyFill="1" applyBorder="1" applyAlignment="1">
      <alignment vertical="center" wrapText="1"/>
      <protection/>
    </xf>
    <xf numFmtId="3" fontId="13" fillId="0" borderId="49" xfId="61" applyNumberFormat="1" applyFont="1" applyFill="1" applyBorder="1" applyAlignment="1">
      <alignment horizontal="center" vertical="center" wrapText="1"/>
      <protection/>
    </xf>
    <xf numFmtId="3" fontId="36" fillId="0" borderId="36" xfId="61" applyNumberFormat="1" applyFont="1" applyFill="1" applyBorder="1" applyAlignment="1">
      <alignment vertical="center" wrapText="1"/>
      <protection/>
    </xf>
    <xf numFmtId="4" fontId="36" fillId="0" borderId="36" xfId="61" applyNumberFormat="1" applyFont="1" applyFill="1" applyBorder="1" applyAlignment="1">
      <alignment vertical="center" wrapText="1"/>
      <protection/>
    </xf>
    <xf numFmtId="4" fontId="36" fillId="0" borderId="28" xfId="61" applyNumberFormat="1" applyFont="1" applyFill="1" applyBorder="1" applyAlignment="1">
      <alignment vertical="center" wrapText="1"/>
      <protection/>
    </xf>
    <xf numFmtId="0" fontId="36" fillId="0" borderId="50" xfId="61" applyFont="1" applyFill="1" applyBorder="1" applyAlignment="1">
      <alignment horizontal="center" vertical="center" wrapText="1"/>
      <protection/>
    </xf>
    <xf numFmtId="0" fontId="13" fillId="0" borderId="51" xfId="61" applyFont="1" applyFill="1" applyBorder="1" applyAlignment="1">
      <alignment vertical="center" wrapText="1"/>
      <protection/>
    </xf>
    <xf numFmtId="3" fontId="11" fillId="0" borderId="28" xfId="62" applyNumberFormat="1" applyFont="1" applyFill="1" applyBorder="1" applyAlignment="1">
      <alignment horizontal="left" vertical="center" wrapText="1"/>
      <protection/>
    </xf>
    <xf numFmtId="0" fontId="36" fillId="0" borderId="33" xfId="61" applyFont="1" applyFill="1" applyBorder="1" applyAlignment="1">
      <alignment horizontal="center" vertical="center" wrapText="1"/>
      <protection/>
    </xf>
    <xf numFmtId="0" fontId="13" fillId="0" borderId="34" xfId="61" applyFont="1" applyFill="1" applyBorder="1" applyAlignment="1">
      <alignment vertical="center" wrapText="1"/>
      <protection/>
    </xf>
    <xf numFmtId="3" fontId="36" fillId="0" borderId="34" xfId="61" applyNumberFormat="1" applyFont="1" applyFill="1" applyBorder="1" applyAlignment="1">
      <alignment vertical="center" wrapText="1"/>
      <protection/>
    </xf>
    <xf numFmtId="3" fontId="11" fillId="0" borderId="34" xfId="61" applyNumberFormat="1" applyFont="1" applyFill="1" applyBorder="1" applyAlignment="1">
      <alignment vertical="center" wrapText="1"/>
      <protection/>
    </xf>
    <xf numFmtId="3" fontId="11" fillId="0" borderId="28" xfId="61" applyNumberFormat="1" applyFont="1" applyFill="1" applyBorder="1" applyAlignment="1">
      <alignment vertical="center" wrapText="1"/>
      <protection/>
    </xf>
    <xf numFmtId="0" fontId="13" fillId="0" borderId="40" xfId="61" applyFont="1" applyFill="1" applyBorder="1" applyAlignment="1">
      <alignment horizontal="center" vertical="center" wrapText="1"/>
      <protection/>
    </xf>
    <xf numFmtId="3" fontId="44" fillId="0" borderId="24" xfId="62" applyNumberFormat="1" applyFont="1" applyFill="1" applyBorder="1" applyAlignment="1">
      <alignment vertical="center" wrapText="1"/>
      <protection/>
    </xf>
    <xf numFmtId="3" fontId="44" fillId="0" borderId="52" xfId="62" applyNumberFormat="1" applyFont="1" applyFill="1" applyBorder="1" applyAlignment="1">
      <alignment vertical="center" wrapText="1"/>
      <protection/>
    </xf>
    <xf numFmtId="3" fontId="44" fillId="0" borderId="53" xfId="62" applyNumberFormat="1" applyFont="1" applyFill="1" applyBorder="1" applyAlignment="1">
      <alignment horizontal="center" vertical="center" wrapText="1"/>
      <protection/>
    </xf>
    <xf numFmtId="0" fontId="13" fillId="0" borderId="54" xfId="62" applyFont="1" applyFill="1" applyBorder="1" applyAlignment="1">
      <alignment horizontal="center" vertical="center" wrapText="1"/>
      <protection/>
    </xf>
    <xf numFmtId="0" fontId="13" fillId="0" borderId="28" xfId="62" applyFont="1" applyFill="1" applyBorder="1" applyAlignment="1">
      <alignment vertical="center" wrapText="1"/>
      <protection/>
    </xf>
    <xf numFmtId="3" fontId="36" fillId="0" borderId="55" xfId="62" applyNumberFormat="1" applyFont="1" applyFill="1" applyBorder="1" applyAlignment="1">
      <alignment vertical="center" wrapText="1"/>
      <protection/>
    </xf>
    <xf numFmtId="3" fontId="36" fillId="0" borderId="29" xfId="62" applyNumberFormat="1" applyFont="1" applyFill="1" applyBorder="1" applyAlignment="1">
      <alignment vertical="center" wrapText="1"/>
      <protection/>
    </xf>
    <xf numFmtId="0" fontId="13" fillId="0" borderId="56" xfId="62" applyFont="1" applyFill="1" applyBorder="1" applyAlignment="1">
      <alignment horizontal="center" vertical="center" wrapText="1"/>
      <protection/>
    </xf>
    <xf numFmtId="0" fontId="36" fillId="0" borderId="0" xfId="62" applyFont="1" applyFill="1" applyBorder="1" applyAlignment="1">
      <alignment vertical="center" wrapText="1"/>
      <protection/>
    </xf>
    <xf numFmtId="3" fontId="44" fillId="0" borderId="52" xfId="61" applyNumberFormat="1" applyFont="1" applyFill="1" applyBorder="1" applyAlignment="1">
      <alignment vertical="center" wrapText="1"/>
      <protection/>
    </xf>
    <xf numFmtId="3" fontId="44" fillId="0" borderId="57" xfId="61" applyNumberFormat="1" applyFont="1" applyFill="1" applyBorder="1" applyAlignment="1">
      <alignment vertical="center" wrapText="1"/>
      <protection/>
    </xf>
    <xf numFmtId="3" fontId="44" fillId="0" borderId="53" xfId="61" applyNumberFormat="1" applyFont="1" applyFill="1" applyBorder="1" applyAlignment="1">
      <alignment horizontal="center" vertical="center" wrapText="1"/>
      <protection/>
    </xf>
    <xf numFmtId="3" fontId="11" fillId="0" borderId="28" xfId="61" applyNumberFormat="1" applyFont="1" applyFill="1" applyBorder="1" applyAlignment="1">
      <alignment horizontal="left" vertical="center" wrapText="1"/>
      <protection/>
    </xf>
    <xf numFmtId="3" fontId="37" fillId="0" borderId="38" xfId="56" applyNumberFormat="1" applyFont="1" applyFill="1" applyBorder="1" applyAlignment="1">
      <alignment vertical="center" wrapText="1"/>
      <protection/>
    </xf>
    <xf numFmtId="3" fontId="44" fillId="0" borderId="52" xfId="56" applyNumberFormat="1" applyFont="1" applyFill="1" applyBorder="1" applyAlignment="1">
      <alignment vertical="center" wrapText="1"/>
      <protection/>
    </xf>
    <xf numFmtId="0" fontId="13" fillId="0" borderId="53" xfId="61" applyFont="1" applyFill="1" applyBorder="1" applyAlignment="1">
      <alignment horizontal="center" vertical="center" wrapText="1"/>
      <protection/>
    </xf>
    <xf numFmtId="0" fontId="13" fillId="0" borderId="58" xfId="61" applyFont="1" applyFill="1" applyBorder="1" applyAlignment="1">
      <alignment horizontal="center" vertical="center" wrapText="1"/>
      <protection/>
    </xf>
    <xf numFmtId="3" fontId="11" fillId="0" borderId="10" xfId="61" applyNumberFormat="1" applyFont="1" applyFill="1" applyBorder="1" applyAlignment="1">
      <alignment vertical="center" wrapText="1"/>
      <protection/>
    </xf>
    <xf numFmtId="0" fontId="13" fillId="0" borderId="30" xfId="62" applyFont="1" applyFill="1" applyBorder="1" applyAlignment="1">
      <alignment horizontal="center" vertical="center" wrapText="1"/>
      <protection/>
    </xf>
    <xf numFmtId="0" fontId="13" fillId="0" borderId="33" xfId="56" applyFont="1" applyFill="1" applyBorder="1" applyAlignment="1">
      <alignment horizontal="center" vertical="center" wrapText="1"/>
      <protection/>
    </xf>
    <xf numFmtId="3" fontId="13" fillId="0" borderId="34" xfId="56" applyNumberFormat="1" applyFont="1" applyFill="1" applyBorder="1" applyAlignment="1">
      <alignment horizontal="right" vertical="center" wrapText="1"/>
      <protection/>
    </xf>
    <xf numFmtId="3" fontId="36" fillId="0" borderId="34" xfId="56" applyNumberFormat="1" applyFont="1" applyFill="1" applyBorder="1" applyAlignment="1">
      <alignment horizontal="right" vertical="center" wrapText="1"/>
      <protection/>
    </xf>
    <xf numFmtId="3" fontId="13" fillId="0" borderId="34" xfId="56" applyNumberFormat="1" applyFont="1" applyFill="1" applyBorder="1" applyAlignment="1">
      <alignment horizontal="center" vertical="center" wrapText="1"/>
      <protection/>
    </xf>
    <xf numFmtId="0" fontId="13" fillId="0" borderId="59" xfId="61" applyFont="1" applyFill="1" applyBorder="1" applyAlignment="1">
      <alignment horizontal="center" vertical="center" wrapText="1"/>
      <protection/>
    </xf>
    <xf numFmtId="0" fontId="13" fillId="0" borderId="18" xfId="61" applyFont="1" applyFill="1" applyBorder="1" applyAlignment="1">
      <alignment vertical="center" wrapText="1"/>
      <protection/>
    </xf>
    <xf numFmtId="3" fontId="36" fillId="0" borderId="18" xfId="61" applyNumberFormat="1" applyFont="1" applyFill="1" applyBorder="1" applyAlignment="1">
      <alignment vertical="center" wrapText="1"/>
      <protection/>
    </xf>
    <xf numFmtId="3" fontId="11" fillId="0" borderId="18" xfId="61" applyNumberFormat="1" applyFont="1" applyFill="1" applyBorder="1" applyAlignment="1">
      <alignment vertical="center" wrapText="1"/>
      <protection/>
    </xf>
    <xf numFmtId="3" fontId="44" fillId="0" borderId="26" xfId="61" applyNumberFormat="1" applyFont="1" applyFill="1" applyBorder="1" applyAlignment="1">
      <alignment horizontal="center" vertical="center" wrapText="1"/>
      <protection/>
    </xf>
    <xf numFmtId="0" fontId="13" fillId="0" borderId="46" xfId="61" applyFont="1" applyFill="1" applyBorder="1" applyAlignment="1">
      <alignment horizontal="center" vertical="center" wrapText="1"/>
      <protection/>
    </xf>
    <xf numFmtId="3" fontId="11" fillId="0" borderId="41" xfId="62" applyNumberFormat="1" applyFont="1" applyFill="1" applyBorder="1" applyAlignment="1">
      <alignment horizontal="left" vertical="center" wrapText="1"/>
      <protection/>
    </xf>
    <xf numFmtId="0" fontId="13" fillId="0" borderId="35" xfId="61" applyFont="1" applyFill="1" applyBorder="1" applyAlignment="1">
      <alignment horizontal="center" vertical="center" wrapText="1"/>
      <protection/>
    </xf>
    <xf numFmtId="3" fontId="11" fillId="0" borderId="36" xfId="62" applyNumberFormat="1" applyFont="1" applyFill="1" applyBorder="1" applyAlignment="1">
      <alignment horizontal="left" vertical="center" wrapText="1"/>
      <protection/>
    </xf>
    <xf numFmtId="0" fontId="13" fillId="0" borderId="37" xfId="62" applyFont="1" applyFill="1" applyBorder="1" applyAlignment="1">
      <alignment horizontal="center" vertical="center" wrapText="1"/>
      <protection/>
    </xf>
    <xf numFmtId="0" fontId="13" fillId="0" borderId="60" xfId="60" applyFont="1" applyFill="1" applyBorder="1" applyAlignment="1">
      <alignment vertical="center" wrapText="1"/>
      <protection/>
    </xf>
    <xf numFmtId="3" fontId="13" fillId="0" borderId="61" xfId="61" applyNumberFormat="1" applyFont="1" applyFill="1" applyBorder="1" applyAlignment="1">
      <alignment horizontal="center" vertical="center" wrapText="1"/>
      <protection/>
    </xf>
    <xf numFmtId="0" fontId="37" fillId="0" borderId="62" xfId="61" applyFont="1" applyFill="1" applyBorder="1" applyAlignment="1">
      <alignment vertical="center" wrapText="1"/>
      <protection/>
    </xf>
    <xf numFmtId="0" fontId="37" fillId="0" borderId="63" xfId="61" applyFont="1" applyFill="1" applyBorder="1" applyAlignment="1">
      <alignment horizontal="center" vertical="center" wrapText="1"/>
      <protection/>
    </xf>
    <xf numFmtId="4" fontId="37" fillId="0" borderId="63" xfId="61" applyNumberFormat="1" applyFont="1" applyFill="1" applyBorder="1" applyAlignment="1">
      <alignment vertical="center" wrapText="1"/>
      <protection/>
    </xf>
    <xf numFmtId="3" fontId="37" fillId="0" borderId="63" xfId="61" applyNumberFormat="1" applyFont="1" applyFill="1" applyBorder="1" applyAlignment="1">
      <alignment vertical="center" wrapText="1"/>
      <protection/>
    </xf>
    <xf numFmtId="3" fontId="37" fillId="0" borderId="40" xfId="61" applyNumberFormat="1" applyFont="1" applyFill="1" applyBorder="1" applyAlignment="1">
      <alignment horizontal="center" vertical="center" wrapText="1"/>
      <protection/>
    </xf>
    <xf numFmtId="0" fontId="48" fillId="0" borderId="0" xfId="61" applyFont="1" applyFill="1" applyAlignment="1">
      <alignment vertical="top"/>
      <protection/>
    </xf>
    <xf numFmtId="0" fontId="36" fillId="0" borderId="0" xfId="61" applyFont="1" applyFill="1">
      <alignment/>
      <protection/>
    </xf>
    <xf numFmtId="0" fontId="37" fillId="0" borderId="0" xfId="61" applyFont="1" applyFill="1" applyAlignment="1">
      <alignment vertical="center" wrapText="1"/>
      <protection/>
    </xf>
    <xf numFmtId="3" fontId="36" fillId="0" borderId="0" xfId="61" applyNumberFormat="1" applyFont="1" applyFill="1">
      <alignment/>
      <protection/>
    </xf>
    <xf numFmtId="3" fontId="37" fillId="0" borderId="0" xfId="61" applyNumberFormat="1" applyFont="1" applyFill="1" applyBorder="1" applyAlignment="1">
      <alignment horizontal="center" vertical="center" wrapText="1"/>
      <protection/>
    </xf>
    <xf numFmtId="0" fontId="37" fillId="0" borderId="0" xfId="61" applyFont="1" applyAlignment="1">
      <alignment vertical="center" wrapText="1"/>
      <protection/>
    </xf>
    <xf numFmtId="0" fontId="49" fillId="0" borderId="0" xfId="61" applyFont="1" applyFill="1">
      <alignment/>
      <protection/>
    </xf>
    <xf numFmtId="4" fontId="50" fillId="0" borderId="0" xfId="61" applyNumberFormat="1" applyFont="1" applyFill="1">
      <alignment/>
      <protection/>
    </xf>
    <xf numFmtId="3" fontId="49" fillId="0" borderId="0" xfId="61" applyNumberFormat="1" applyFont="1" applyFill="1">
      <alignment/>
      <protection/>
    </xf>
    <xf numFmtId="3" fontId="50" fillId="0" borderId="0" xfId="61" applyNumberFormat="1" applyFont="1" applyFill="1" applyAlignment="1">
      <alignment horizontal="right"/>
      <protection/>
    </xf>
    <xf numFmtId="0" fontId="51" fillId="0" borderId="0" xfId="61" applyFont="1" applyFill="1">
      <alignment/>
      <protection/>
    </xf>
    <xf numFmtId="0" fontId="49" fillId="0" borderId="0" xfId="61" applyFont="1" applyFill="1" applyAlignment="1">
      <alignment horizontal="center"/>
      <protection/>
    </xf>
    <xf numFmtId="0" fontId="49" fillId="0" borderId="0" xfId="61" applyFont="1">
      <alignment/>
      <protection/>
    </xf>
    <xf numFmtId="3" fontId="52" fillId="0" borderId="0" xfId="61" applyNumberFormat="1" applyFont="1" applyFill="1">
      <alignment/>
      <protection/>
    </xf>
    <xf numFmtId="0" fontId="49" fillId="0" borderId="0" xfId="61" applyFont="1" applyAlignment="1">
      <alignment horizontal="center"/>
      <protection/>
    </xf>
    <xf numFmtId="0" fontId="13" fillId="0" borderId="0" xfId="52" applyFont="1">
      <alignment/>
      <protection/>
    </xf>
    <xf numFmtId="0" fontId="37" fillId="0" borderId="0" xfId="52" applyFont="1" applyBorder="1" applyAlignment="1">
      <alignment horizontal="center" vertical="top" wrapText="1"/>
      <protection/>
    </xf>
    <xf numFmtId="0" fontId="37" fillId="0" borderId="0" xfId="52" applyFont="1" applyFill="1" applyBorder="1" applyAlignment="1">
      <alignment horizontal="center" vertical="top" wrapText="1"/>
      <protection/>
    </xf>
    <xf numFmtId="0" fontId="55" fillId="0" borderId="64" xfId="52" applyFont="1" applyBorder="1" applyAlignment="1">
      <alignment horizontal="center" vertical="center" wrapText="1"/>
      <protection/>
    </xf>
    <xf numFmtId="0" fontId="55" fillId="0" borderId="65" xfId="52" applyFont="1" applyBorder="1" applyAlignment="1">
      <alignment horizontal="center" vertical="center" wrapText="1"/>
      <protection/>
    </xf>
    <xf numFmtId="3" fontId="55" fillId="0" borderId="65" xfId="52" applyNumberFormat="1" applyFont="1" applyBorder="1" applyAlignment="1">
      <alignment horizontal="center" vertical="center"/>
      <protection/>
    </xf>
    <xf numFmtId="3" fontId="55" fillId="0" borderId="66" xfId="52" applyNumberFormat="1" applyFont="1" applyFill="1" applyBorder="1" applyAlignment="1">
      <alignment horizontal="center" vertical="center"/>
      <protection/>
    </xf>
    <xf numFmtId="0" fontId="55" fillId="0" borderId="0" xfId="52" applyFont="1" applyAlignment="1">
      <alignment vertical="center"/>
      <protection/>
    </xf>
    <xf numFmtId="0" fontId="53" fillId="0" borderId="67" xfId="52" applyFont="1" applyBorder="1" applyAlignment="1">
      <alignment horizontal="center" vertical="center" wrapText="1"/>
      <protection/>
    </xf>
    <xf numFmtId="0" fontId="46" fillId="0" borderId="68" xfId="52" applyFont="1" applyBorder="1" applyAlignment="1">
      <alignment horizontal="center" vertical="center" wrapText="1"/>
      <protection/>
    </xf>
    <xf numFmtId="0" fontId="11" fillId="0" borderId="68" xfId="52" applyFont="1" applyBorder="1" applyAlignment="1">
      <alignment horizontal="center" vertical="center" wrapText="1"/>
      <protection/>
    </xf>
    <xf numFmtId="3" fontId="12" fillId="0" borderId="68" xfId="52" applyNumberFormat="1" applyFont="1" applyBorder="1" applyAlignment="1">
      <alignment horizontal="center" vertical="center"/>
      <protection/>
    </xf>
    <xf numFmtId="0" fontId="13" fillId="0" borderId="0" xfId="52" applyFont="1" applyAlignment="1">
      <alignment vertical="center"/>
      <protection/>
    </xf>
    <xf numFmtId="0" fontId="46" fillId="0" borderId="69" xfId="52" applyFont="1" applyFill="1" applyBorder="1" applyAlignment="1">
      <alignment horizontal="center" vertical="center"/>
      <protection/>
    </xf>
    <xf numFmtId="0" fontId="46" fillId="0" borderId="60" xfId="52" applyFont="1" applyFill="1" applyBorder="1" applyAlignment="1">
      <alignment vertical="center"/>
      <protection/>
    </xf>
    <xf numFmtId="0" fontId="13" fillId="0" borderId="65" xfId="52" applyFont="1" applyFill="1" applyBorder="1" applyAlignment="1">
      <alignment horizontal="center" vertical="center"/>
      <protection/>
    </xf>
    <xf numFmtId="49" fontId="53" fillId="0" borderId="65" xfId="52" applyNumberFormat="1" applyFont="1" applyFill="1" applyBorder="1" applyAlignment="1">
      <alignment vertical="center" wrapText="1"/>
      <protection/>
    </xf>
    <xf numFmtId="0" fontId="36" fillId="0" borderId="70" xfId="52" applyFont="1" applyFill="1" applyBorder="1" applyAlignment="1">
      <alignment vertical="center"/>
      <protection/>
    </xf>
    <xf numFmtId="3" fontId="12" fillId="0" borderId="60" xfId="52" applyNumberFormat="1" applyFont="1" applyFill="1" applyBorder="1" applyAlignment="1">
      <alignment horizontal="center" vertical="center"/>
      <protection/>
    </xf>
    <xf numFmtId="3" fontId="12" fillId="0" borderId="71" xfId="52" applyNumberFormat="1" applyFont="1" applyFill="1" applyBorder="1" applyAlignment="1">
      <alignment horizontal="center" vertical="center"/>
      <protection/>
    </xf>
    <xf numFmtId="0" fontId="13" fillId="0" borderId="69" xfId="52" applyFont="1" applyFill="1" applyBorder="1" applyAlignment="1">
      <alignment horizontal="center" vertical="center"/>
      <protection/>
    </xf>
    <xf numFmtId="0" fontId="46" fillId="0" borderId="72" xfId="52" applyFont="1" applyFill="1" applyBorder="1" applyAlignment="1">
      <alignment vertical="center" wrapText="1"/>
      <protection/>
    </xf>
    <xf numFmtId="0" fontId="53" fillId="0" borderId="65" xfId="52" applyFont="1" applyFill="1" applyBorder="1" applyAlignment="1">
      <alignment vertical="center"/>
      <protection/>
    </xf>
    <xf numFmtId="0" fontId="36" fillId="0" borderId="73" xfId="52" applyFont="1" applyFill="1" applyBorder="1" applyAlignment="1">
      <alignment vertical="center"/>
      <protection/>
    </xf>
    <xf numFmtId="3" fontId="56" fillId="0" borderId="72" xfId="52" applyNumberFormat="1" applyFont="1" applyFill="1" applyBorder="1" applyAlignment="1">
      <alignment horizontal="center" vertical="center"/>
      <protection/>
    </xf>
    <xf numFmtId="3" fontId="56" fillId="0" borderId="74" xfId="52" applyNumberFormat="1" applyFont="1" applyFill="1" applyBorder="1" applyAlignment="1">
      <alignment horizontal="center" vertical="center"/>
      <protection/>
    </xf>
    <xf numFmtId="0" fontId="13" fillId="0" borderId="75" xfId="52" applyFont="1" applyFill="1" applyBorder="1" applyAlignment="1">
      <alignment horizontal="center" vertical="center"/>
      <protection/>
    </xf>
    <xf numFmtId="0" fontId="13" fillId="0" borderId="76" xfId="52" applyFont="1" applyFill="1" applyBorder="1" applyAlignment="1">
      <alignment horizontal="center" vertical="center"/>
      <protection/>
    </xf>
    <xf numFmtId="0" fontId="53" fillId="0" borderId="76" xfId="52" applyFont="1" applyFill="1" applyBorder="1" applyAlignment="1">
      <alignment vertical="center"/>
      <protection/>
    </xf>
    <xf numFmtId="0" fontId="36" fillId="0" borderId="77" xfId="52" applyFont="1" applyFill="1" applyBorder="1" applyAlignment="1">
      <alignment vertical="center"/>
      <protection/>
    </xf>
    <xf numFmtId="3" fontId="56" fillId="0" borderId="78" xfId="52" applyNumberFormat="1" applyFont="1" applyFill="1" applyBorder="1" applyAlignment="1">
      <alignment horizontal="center" vertical="center"/>
      <protection/>
    </xf>
    <xf numFmtId="3" fontId="56" fillId="0" borderId="79" xfId="52" applyNumberFormat="1" applyFont="1" applyFill="1" applyBorder="1" applyAlignment="1">
      <alignment horizontal="center" vertical="center"/>
      <protection/>
    </xf>
    <xf numFmtId="0" fontId="46" fillId="0" borderId="80" xfId="52" applyFont="1" applyFill="1" applyBorder="1" applyAlignment="1">
      <alignment horizontal="center" vertical="center"/>
      <protection/>
    </xf>
    <xf numFmtId="0" fontId="58" fillId="0" borderId="65" xfId="52" applyFont="1" applyFill="1" applyBorder="1" applyAlignment="1">
      <alignment horizontal="center" vertical="center"/>
      <protection/>
    </xf>
    <xf numFmtId="49" fontId="53" fillId="0" borderId="65" xfId="52" applyNumberFormat="1" applyFont="1" applyFill="1" applyBorder="1" applyAlignment="1">
      <alignment vertical="center"/>
      <protection/>
    </xf>
    <xf numFmtId="0" fontId="36" fillId="0" borderId="70" xfId="52" applyFont="1" applyFill="1" applyBorder="1" applyAlignment="1">
      <alignment vertical="center"/>
      <protection/>
    </xf>
    <xf numFmtId="3" fontId="12" fillId="0" borderId="60" xfId="52" applyNumberFormat="1" applyFont="1" applyFill="1" applyBorder="1" applyAlignment="1">
      <alignment horizontal="center" vertical="center"/>
      <protection/>
    </xf>
    <xf numFmtId="3" fontId="12" fillId="0" borderId="81" xfId="52" applyNumberFormat="1" applyFont="1" applyFill="1" applyBorder="1" applyAlignment="1">
      <alignment horizontal="center" vertical="center"/>
      <protection/>
    </xf>
    <xf numFmtId="3" fontId="12" fillId="0" borderId="82" xfId="52" applyNumberFormat="1" applyFont="1" applyFill="1" applyBorder="1" applyAlignment="1">
      <alignment horizontal="center" vertical="center"/>
      <protection/>
    </xf>
    <xf numFmtId="3" fontId="58" fillId="0" borderId="0" xfId="52" applyNumberFormat="1" applyFont="1" applyBorder="1" applyAlignment="1">
      <alignment vertical="center"/>
      <protection/>
    </xf>
    <xf numFmtId="0" fontId="58" fillId="0" borderId="0" xfId="52" applyFont="1" applyFill="1" applyBorder="1" applyAlignment="1">
      <alignment vertical="center"/>
      <protection/>
    </xf>
    <xf numFmtId="0" fontId="58" fillId="0" borderId="0" xfId="52" applyFont="1" applyBorder="1" applyAlignment="1">
      <alignment vertical="center"/>
      <protection/>
    </xf>
    <xf numFmtId="0" fontId="58" fillId="0" borderId="69" xfId="52" applyFont="1" applyFill="1" applyBorder="1" applyAlignment="1">
      <alignment horizontal="center" vertical="center"/>
      <protection/>
    </xf>
    <xf numFmtId="0" fontId="36" fillId="0" borderId="73" xfId="52" applyFont="1" applyFill="1" applyBorder="1" applyAlignment="1">
      <alignment vertical="center"/>
      <protection/>
    </xf>
    <xf numFmtId="3" fontId="56" fillId="0" borderId="72" xfId="52" applyNumberFormat="1" applyFont="1" applyFill="1" applyBorder="1" applyAlignment="1">
      <alignment horizontal="center" vertical="center"/>
      <protection/>
    </xf>
    <xf numFmtId="3" fontId="56" fillId="0" borderId="74" xfId="52" applyNumberFormat="1" applyFont="1" applyFill="1" applyBorder="1" applyAlignment="1">
      <alignment horizontal="center" vertical="center"/>
      <protection/>
    </xf>
    <xf numFmtId="0" fontId="58" fillId="0" borderId="75" xfId="52" applyFont="1" applyFill="1" applyBorder="1" applyAlignment="1">
      <alignment horizontal="center" vertical="center"/>
      <protection/>
    </xf>
    <xf numFmtId="0" fontId="58" fillId="0" borderId="76" xfId="52" applyFont="1" applyFill="1" applyBorder="1" applyAlignment="1">
      <alignment horizontal="center" vertical="center"/>
      <protection/>
    </xf>
    <xf numFmtId="49" fontId="53" fillId="0" borderId="76" xfId="52" applyNumberFormat="1" applyFont="1" applyFill="1" applyBorder="1" applyAlignment="1">
      <alignment vertical="center"/>
      <protection/>
    </xf>
    <xf numFmtId="0" fontId="36" fillId="0" borderId="77" xfId="52" applyFont="1" applyFill="1" applyBorder="1" applyAlignment="1">
      <alignment vertical="center"/>
      <protection/>
    </xf>
    <xf numFmtId="3" fontId="56" fillId="0" borderId="78" xfId="52" applyNumberFormat="1" applyFont="1" applyFill="1" applyBorder="1" applyAlignment="1">
      <alignment horizontal="center" vertical="center"/>
      <protection/>
    </xf>
    <xf numFmtId="3" fontId="56" fillId="0" borderId="79" xfId="52" applyNumberFormat="1" applyFont="1" applyFill="1" applyBorder="1" applyAlignment="1">
      <alignment horizontal="center" vertical="center"/>
      <protection/>
    </xf>
    <xf numFmtId="49" fontId="53" fillId="0" borderId="65" xfId="52" applyNumberFormat="1" applyFont="1" applyFill="1" applyBorder="1" applyAlignment="1">
      <alignment vertical="center"/>
      <protection/>
    </xf>
    <xf numFmtId="0" fontId="13" fillId="0" borderId="0" xfId="52" applyFont="1" applyBorder="1" applyAlignment="1">
      <alignment vertical="center"/>
      <protection/>
    </xf>
    <xf numFmtId="0" fontId="13" fillId="0" borderId="0" xfId="52" applyFont="1" applyFill="1" applyBorder="1" applyAlignment="1">
      <alignment vertical="center"/>
      <protection/>
    </xf>
    <xf numFmtId="49" fontId="53" fillId="0" borderId="76" xfId="52" applyNumberFormat="1" applyFont="1" applyFill="1" applyBorder="1" applyAlignment="1">
      <alignment vertical="center"/>
      <protection/>
    </xf>
    <xf numFmtId="0" fontId="13" fillId="0" borderId="67" xfId="52" applyFont="1" applyBorder="1" applyAlignment="1">
      <alignment horizontal="center" vertical="center"/>
      <protection/>
    </xf>
    <xf numFmtId="0" fontId="13" fillId="0" borderId="68" xfId="52" applyFont="1" applyBorder="1" applyAlignment="1">
      <alignment vertical="center"/>
      <protection/>
    </xf>
    <xf numFmtId="0" fontId="37" fillId="0" borderId="68" xfId="52" applyFont="1" applyBorder="1" applyAlignment="1">
      <alignment horizontal="center" vertical="center"/>
      <protection/>
    </xf>
    <xf numFmtId="0" fontId="13" fillId="0" borderId="0" xfId="52" applyFont="1" applyBorder="1" applyAlignment="1">
      <alignment horizontal="center" vertical="center"/>
      <protection/>
    </xf>
    <xf numFmtId="0" fontId="46" fillId="0" borderId="0" xfId="52" applyFont="1" applyBorder="1" applyAlignment="1">
      <alignment horizontal="center" vertical="center"/>
      <protection/>
    </xf>
    <xf numFmtId="3" fontId="46" fillId="0" borderId="0" xfId="52" applyNumberFormat="1" applyFont="1" applyBorder="1" applyAlignment="1">
      <alignment horizontal="center" vertical="center"/>
      <protection/>
    </xf>
    <xf numFmtId="3" fontId="46" fillId="0" borderId="0" xfId="52" applyNumberFormat="1" applyFont="1" applyFill="1" applyBorder="1" applyAlignment="1">
      <alignment horizontal="center" vertical="center"/>
      <protection/>
    </xf>
    <xf numFmtId="0" fontId="59" fillId="0" borderId="0" xfId="52" applyFont="1" applyAlignment="1">
      <alignment horizontal="center"/>
      <protection/>
    </xf>
    <xf numFmtId="0" fontId="59" fillId="0" borderId="0" xfId="52" applyFont="1" applyBorder="1">
      <alignment/>
      <protection/>
    </xf>
    <xf numFmtId="3" fontId="59" fillId="0" borderId="0" xfId="52" applyNumberFormat="1" applyFont="1" applyBorder="1">
      <alignment/>
      <protection/>
    </xf>
    <xf numFmtId="0" fontId="59" fillId="0" borderId="0" xfId="52" applyFont="1" applyFill="1" applyBorder="1">
      <alignment/>
      <protection/>
    </xf>
    <xf numFmtId="0" fontId="59" fillId="0" borderId="0" xfId="52" applyFont="1">
      <alignment/>
      <protection/>
    </xf>
    <xf numFmtId="0" fontId="59" fillId="0" borderId="72" xfId="52" applyFont="1" applyBorder="1">
      <alignment/>
      <protection/>
    </xf>
    <xf numFmtId="0" fontId="59" fillId="0" borderId="83" xfId="52" applyFont="1" applyBorder="1">
      <alignment/>
      <protection/>
    </xf>
    <xf numFmtId="0" fontId="59" fillId="0" borderId="84" xfId="52" applyFont="1" applyBorder="1">
      <alignment/>
      <protection/>
    </xf>
    <xf numFmtId="0" fontId="59" fillId="0" borderId="84" xfId="52" applyFont="1" applyFill="1" applyBorder="1">
      <alignment/>
      <protection/>
    </xf>
    <xf numFmtId="0" fontId="10" fillId="0" borderId="0" xfId="54" applyAlignment="1">
      <alignment vertical="center"/>
      <protection/>
    </xf>
    <xf numFmtId="0" fontId="60" fillId="0" borderId="0" xfId="54" applyFont="1" applyAlignment="1">
      <alignment horizontal="right" vertical="center"/>
      <protection/>
    </xf>
    <xf numFmtId="0" fontId="40" fillId="0" borderId="10" xfId="54" applyFont="1" applyFill="1" applyBorder="1" applyAlignment="1">
      <alignment horizontal="center" vertical="center"/>
      <protection/>
    </xf>
    <xf numFmtId="0" fontId="40" fillId="0" borderId="10" xfId="54" applyFont="1" applyFill="1" applyBorder="1" applyAlignment="1">
      <alignment horizontal="center" vertical="center" wrapText="1"/>
      <protection/>
    </xf>
    <xf numFmtId="0" fontId="10" fillId="0" borderId="0" xfId="54" applyFill="1" applyAlignment="1">
      <alignment vertical="center"/>
      <protection/>
    </xf>
    <xf numFmtId="0" fontId="61" fillId="0" borderId="10" xfId="54" applyFont="1" applyBorder="1" applyAlignment="1">
      <alignment horizontal="center" vertical="center"/>
      <protection/>
    </xf>
    <xf numFmtId="0" fontId="62" fillId="0" borderId="85" xfId="54" applyFont="1" applyBorder="1" applyAlignment="1">
      <alignment vertical="center"/>
      <protection/>
    </xf>
    <xf numFmtId="0" fontId="62" fillId="0" borderId="86" xfId="54" applyFont="1" applyBorder="1" applyAlignment="1">
      <alignment vertical="center"/>
      <protection/>
    </xf>
    <xf numFmtId="3" fontId="62" fillId="0" borderId="87" xfId="54" applyNumberFormat="1" applyFont="1" applyBorder="1" applyAlignment="1">
      <alignment vertical="center"/>
      <protection/>
    </xf>
    <xf numFmtId="0" fontId="62" fillId="0" borderId="88" xfId="54" applyFont="1" applyBorder="1" applyAlignment="1">
      <alignment vertical="center"/>
      <protection/>
    </xf>
    <xf numFmtId="0" fontId="62" fillId="0" borderId="16" xfId="54" applyFont="1" applyBorder="1" applyAlignment="1">
      <alignment vertical="center"/>
      <protection/>
    </xf>
    <xf numFmtId="3" fontId="62" fillId="0" borderId="12" xfId="54" applyNumberFormat="1" applyFont="1" applyBorder="1" applyAlignment="1">
      <alignment vertical="center"/>
      <protection/>
    </xf>
    <xf numFmtId="0" fontId="33" fillId="0" borderId="89" xfId="54" applyFont="1" applyBorder="1" applyAlignment="1">
      <alignment horizontal="center" vertical="center"/>
      <protection/>
    </xf>
    <xf numFmtId="49" fontId="10" fillId="0" borderId="89" xfId="54" applyNumberFormat="1" applyFont="1" applyBorder="1" applyAlignment="1">
      <alignment horizontal="center" vertical="center"/>
      <protection/>
    </xf>
    <xf numFmtId="0" fontId="10" fillId="0" borderId="89" xfId="54" applyFont="1" applyBorder="1" applyAlignment="1">
      <alignment horizontal="center" vertical="center" wrapText="1"/>
      <protection/>
    </xf>
    <xf numFmtId="0" fontId="10" fillId="0" borderId="89" xfId="54" applyFont="1" applyBorder="1" applyAlignment="1">
      <alignment vertical="center"/>
      <protection/>
    </xf>
    <xf numFmtId="3" fontId="10" fillId="0" borderId="89" xfId="54" applyNumberFormat="1" applyFont="1" applyBorder="1" applyAlignment="1">
      <alignment vertical="center"/>
      <protection/>
    </xf>
    <xf numFmtId="0" fontId="10" fillId="0" borderId="0" xfId="54">
      <alignment/>
      <protection/>
    </xf>
    <xf numFmtId="0" fontId="10" fillId="0" borderId="89" xfId="54" applyFont="1" applyBorder="1" applyAlignment="1">
      <alignment horizontal="center" vertical="center"/>
      <protection/>
    </xf>
    <xf numFmtId="0" fontId="13" fillId="0" borderId="89" xfId="54" applyFont="1" applyBorder="1" applyAlignment="1">
      <alignment horizontal="center" vertical="center" wrapText="1"/>
      <protection/>
    </xf>
    <xf numFmtId="0" fontId="10" fillId="0" borderId="89" xfId="54" applyFont="1" applyBorder="1" applyAlignment="1">
      <alignment vertical="center" wrapText="1"/>
      <protection/>
    </xf>
    <xf numFmtId="0" fontId="33" fillId="0" borderId="10" xfId="54" applyFont="1" applyBorder="1" applyAlignment="1">
      <alignment horizontal="center" vertical="center"/>
      <protection/>
    </xf>
    <xf numFmtId="0" fontId="10" fillId="0" borderId="10" xfId="54" applyFont="1" applyBorder="1" applyAlignment="1">
      <alignment horizontal="center" vertical="center"/>
      <protection/>
    </xf>
    <xf numFmtId="0" fontId="10" fillId="0" borderId="10" xfId="54" applyFont="1" applyBorder="1" applyAlignment="1">
      <alignment vertical="center" wrapText="1"/>
      <protection/>
    </xf>
    <xf numFmtId="3" fontId="10" fillId="0" borderId="10" xfId="54" applyNumberFormat="1" applyFont="1" applyBorder="1" applyAlignment="1">
      <alignment vertical="center"/>
      <protection/>
    </xf>
    <xf numFmtId="0" fontId="62" fillId="0" borderId="39" xfId="54" applyFont="1" applyBorder="1" applyAlignment="1">
      <alignment vertical="center"/>
      <protection/>
    </xf>
    <xf numFmtId="0" fontId="62" fillId="0" borderId="90" xfId="54" applyFont="1" applyBorder="1" applyAlignment="1">
      <alignment vertical="center"/>
      <protection/>
    </xf>
    <xf numFmtId="4" fontId="62" fillId="0" borderId="38" xfId="54" applyNumberFormat="1" applyFont="1" applyBorder="1" applyAlignment="1">
      <alignment vertical="center"/>
      <protection/>
    </xf>
    <xf numFmtId="0" fontId="10" fillId="0" borderId="10" xfId="54" applyFont="1" applyBorder="1" applyAlignment="1">
      <alignment horizontal="center" vertical="center" wrapText="1"/>
      <protection/>
    </xf>
    <xf numFmtId="3" fontId="10" fillId="0" borderId="0" xfId="54" applyNumberFormat="1" applyAlignment="1">
      <alignment vertical="center"/>
      <protection/>
    </xf>
    <xf numFmtId="4" fontId="62" fillId="0" borderId="12" xfId="54" applyNumberFormat="1" applyFont="1" applyBorder="1" applyAlignment="1">
      <alignment vertical="center"/>
      <protection/>
    </xf>
    <xf numFmtId="4" fontId="10" fillId="0" borderId="10" xfId="54" applyNumberFormat="1" applyFont="1" applyBorder="1" applyAlignment="1">
      <alignment vertical="center"/>
      <protection/>
    </xf>
    <xf numFmtId="3" fontId="62" fillId="0" borderId="38" xfId="54" applyNumberFormat="1" applyFont="1" applyBorder="1" applyAlignment="1">
      <alignment vertical="center"/>
      <protection/>
    </xf>
    <xf numFmtId="0" fontId="33" fillId="0" borderId="10" xfId="54" applyFont="1" applyFill="1" applyBorder="1" applyAlignment="1">
      <alignment horizontal="center" vertical="center"/>
      <protection/>
    </xf>
    <xf numFmtId="49" fontId="10" fillId="0" borderId="10" xfId="54" applyNumberFormat="1" applyFont="1" applyFill="1" applyBorder="1" applyAlignment="1">
      <alignment horizontal="center" vertical="center"/>
      <protection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vertical="center" wrapText="1"/>
      <protection/>
    </xf>
    <xf numFmtId="3" fontId="10" fillId="0" borderId="10" xfId="54" applyNumberFormat="1" applyFont="1" applyFill="1" applyBorder="1" applyAlignment="1">
      <alignment horizontal="right" vertical="center" wrapText="1"/>
      <protection/>
    </xf>
    <xf numFmtId="0" fontId="10" fillId="0" borderId="10" xfId="54" applyFill="1" applyBorder="1" applyAlignment="1">
      <alignment vertical="center" wrapText="1"/>
      <protection/>
    </xf>
    <xf numFmtId="49" fontId="10" fillId="0" borderId="10" xfId="54" applyNumberFormat="1" applyFill="1" applyBorder="1" applyAlignment="1">
      <alignment horizontal="center" vertical="center"/>
      <protection/>
    </xf>
    <xf numFmtId="0" fontId="10" fillId="0" borderId="10" xfId="54" applyBorder="1" applyAlignment="1">
      <alignment horizontal="center" vertical="center" wrapText="1"/>
      <protection/>
    </xf>
    <xf numFmtId="0" fontId="10" fillId="0" borderId="10" xfId="54" applyBorder="1" applyAlignment="1">
      <alignment vertical="center" wrapText="1"/>
      <protection/>
    </xf>
    <xf numFmtId="0" fontId="33" fillId="0" borderId="31" xfId="54" applyFont="1" applyBorder="1" applyAlignment="1">
      <alignment horizontal="center" vertical="center"/>
      <protection/>
    </xf>
    <xf numFmtId="0" fontId="10" fillId="0" borderId="31" xfId="54" applyFont="1" applyBorder="1" applyAlignment="1">
      <alignment horizontal="center" vertical="center"/>
      <protection/>
    </xf>
    <xf numFmtId="0" fontId="10" fillId="0" borderId="31" xfId="54" applyFont="1" applyBorder="1" applyAlignment="1">
      <alignment horizontal="center" vertical="center" wrapText="1"/>
      <protection/>
    </xf>
    <xf numFmtId="0" fontId="10" fillId="0" borderId="91" xfId="54" applyFont="1" applyBorder="1" applyAlignment="1">
      <alignment horizontal="center" vertical="center" wrapText="1"/>
      <protection/>
    </xf>
    <xf numFmtId="3" fontId="10" fillId="0" borderId="31" xfId="54" applyNumberFormat="1" applyFont="1" applyBorder="1" applyAlignment="1">
      <alignment vertical="center"/>
      <protection/>
    </xf>
    <xf numFmtId="4" fontId="10" fillId="0" borderId="0" xfId="54" applyNumberFormat="1" applyAlignment="1">
      <alignment vertical="center"/>
      <protection/>
    </xf>
    <xf numFmtId="0" fontId="33" fillId="0" borderId="72" xfId="58" applyFont="1" applyBorder="1" applyAlignment="1">
      <alignment horizontal="center" vertical="center"/>
      <protection/>
    </xf>
    <xf numFmtId="0" fontId="10" fillId="0" borderId="72" xfId="58" applyFont="1" applyBorder="1" applyAlignment="1">
      <alignment horizontal="center" vertical="center"/>
      <protection/>
    </xf>
    <xf numFmtId="0" fontId="10" fillId="0" borderId="72" xfId="58" applyFont="1" applyBorder="1" applyAlignment="1">
      <alignment horizontal="center" vertical="center" wrapText="1"/>
      <protection/>
    </xf>
    <xf numFmtId="3" fontId="10" fillId="0" borderId="72" xfId="58" applyNumberFormat="1" applyFont="1" applyBorder="1" applyAlignment="1">
      <alignment vertical="center"/>
      <protection/>
    </xf>
    <xf numFmtId="0" fontId="10" fillId="0" borderId="0" xfId="58" applyAlignment="1">
      <alignment vertical="center"/>
      <protection/>
    </xf>
    <xf numFmtId="0" fontId="33" fillId="0" borderId="92" xfId="58" applyFont="1" applyBorder="1" applyAlignment="1">
      <alignment horizontal="center" vertical="center"/>
      <protection/>
    </xf>
    <xf numFmtId="0" fontId="10" fillId="0" borderId="92" xfId="58" applyFont="1" applyBorder="1" applyAlignment="1">
      <alignment horizontal="center" vertical="center"/>
      <protection/>
    </xf>
    <xf numFmtId="0" fontId="10" fillId="0" borderId="92" xfId="58" applyFont="1" applyBorder="1" applyAlignment="1">
      <alignment horizontal="center" vertical="center" wrapText="1"/>
      <protection/>
    </xf>
    <xf numFmtId="0" fontId="10" fillId="0" borderId="65" xfId="58" applyFont="1" applyBorder="1" applyAlignment="1">
      <alignment horizontal="center" vertical="center" wrapText="1"/>
      <protection/>
    </xf>
    <xf numFmtId="4" fontId="10" fillId="0" borderId="92" xfId="58" applyNumberFormat="1" applyFont="1" applyBorder="1" applyAlignment="1">
      <alignment vertical="center"/>
      <protection/>
    </xf>
    <xf numFmtId="4" fontId="40" fillId="0" borderId="40" xfId="54" applyNumberFormat="1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0" fillId="0" borderId="0" xfId="55">
      <alignment/>
      <protection/>
    </xf>
    <xf numFmtId="0" fontId="10" fillId="0" borderId="0" xfId="55" applyAlignment="1">
      <alignment vertical="center"/>
      <protection/>
    </xf>
    <xf numFmtId="0" fontId="33" fillId="0" borderId="0" xfId="55" applyFont="1" applyAlignment="1">
      <alignment horizontal="right" vertical="center"/>
      <protection/>
    </xf>
    <xf numFmtId="0" fontId="40" fillId="20" borderId="10" xfId="55" applyFont="1" applyFill="1" applyBorder="1" applyAlignment="1">
      <alignment horizontal="center" vertical="center" wrapText="1"/>
      <protection/>
    </xf>
    <xf numFmtId="0" fontId="10" fillId="0" borderId="0" xfId="55" applyAlignment="1">
      <alignment horizontal="center" vertical="center"/>
      <protection/>
    </xf>
    <xf numFmtId="0" fontId="61" fillId="0" borderId="10" xfId="55" applyFont="1" applyBorder="1" applyAlignment="1">
      <alignment horizontal="center" vertical="center"/>
      <protection/>
    </xf>
    <xf numFmtId="49" fontId="10" fillId="0" borderId="13" xfId="55" applyNumberFormat="1" applyFont="1" applyBorder="1" applyAlignment="1">
      <alignment horizontal="right" vertical="center"/>
      <protection/>
    </xf>
    <xf numFmtId="3" fontId="10" fillId="0" borderId="13" xfId="55" applyNumberFormat="1" applyBorder="1" applyAlignment="1">
      <alignment vertical="center"/>
      <protection/>
    </xf>
    <xf numFmtId="4" fontId="10" fillId="0" borderId="13" xfId="55" applyNumberFormat="1" applyBorder="1" applyAlignment="1">
      <alignment vertical="center"/>
      <protection/>
    </xf>
    <xf numFmtId="0" fontId="10" fillId="0" borderId="72" xfId="55" applyBorder="1" applyAlignment="1">
      <alignment vertical="center"/>
      <protection/>
    </xf>
    <xf numFmtId="3" fontId="10" fillId="0" borderId="72" xfId="55" applyNumberFormat="1" applyBorder="1" applyAlignment="1">
      <alignment vertical="center"/>
      <protection/>
    </xf>
    <xf numFmtId="0" fontId="10" fillId="0" borderId="93" xfId="55" applyBorder="1" applyAlignment="1">
      <alignment vertical="center"/>
      <protection/>
    </xf>
    <xf numFmtId="3" fontId="10" fillId="0" borderId="93" xfId="55" applyNumberFormat="1" applyBorder="1" applyAlignment="1">
      <alignment vertical="center"/>
      <protection/>
    </xf>
    <xf numFmtId="3" fontId="10" fillId="0" borderId="10" xfId="55" applyNumberFormat="1" applyBorder="1" applyAlignment="1">
      <alignment vertical="center"/>
      <protection/>
    </xf>
    <xf numFmtId="4" fontId="10" fillId="0" borderId="10" xfId="55" applyNumberFormat="1" applyBorder="1" applyAlignment="1">
      <alignment vertical="center"/>
      <protection/>
    </xf>
    <xf numFmtId="0" fontId="64" fillId="0" borderId="0" xfId="55" applyFont="1" applyAlignment="1">
      <alignment vertical="center"/>
      <protection/>
    </xf>
    <xf numFmtId="0" fontId="13" fillId="0" borderId="0" xfId="55" applyFont="1">
      <alignment/>
      <protection/>
    </xf>
    <xf numFmtId="3" fontId="58" fillId="0" borderId="0" xfId="52" applyNumberFormat="1" applyFont="1" applyFill="1" applyBorder="1" applyAlignment="1">
      <alignment vertical="center"/>
      <protection/>
    </xf>
    <xf numFmtId="0" fontId="13" fillId="0" borderId="0" xfId="53">
      <alignment/>
      <protection/>
    </xf>
    <xf numFmtId="0" fontId="66" fillId="0" borderId="0" xfId="53" applyFont="1" applyBorder="1" applyAlignment="1">
      <alignment vertical="top"/>
      <protection/>
    </xf>
    <xf numFmtId="0" fontId="66" fillId="0" borderId="94" xfId="53" applyFont="1" applyBorder="1" applyAlignment="1">
      <alignment vertical="top"/>
      <protection/>
    </xf>
    <xf numFmtId="49" fontId="13" fillId="0" borderId="95" xfId="53" applyNumberFormat="1" applyFont="1" applyBorder="1" applyAlignment="1">
      <alignment horizontal="center" vertical="center" wrapText="1"/>
      <protection/>
    </xf>
    <xf numFmtId="0" fontId="36" fillId="0" borderId="96" xfId="53" applyFont="1" applyBorder="1" applyAlignment="1">
      <alignment horizontal="center" vertical="center" wrapText="1"/>
      <protection/>
    </xf>
    <xf numFmtId="0" fontId="13" fillId="0" borderId="97" xfId="53" applyBorder="1" applyAlignment="1">
      <alignment horizontal="center" vertical="center" wrapText="1"/>
      <protection/>
    </xf>
    <xf numFmtId="0" fontId="13" fillId="0" borderId="10" xfId="53" applyBorder="1">
      <alignment/>
      <protection/>
    </xf>
    <xf numFmtId="0" fontId="13" fillId="0" borderId="10" xfId="53" applyFont="1" applyBorder="1">
      <alignment/>
      <protection/>
    </xf>
    <xf numFmtId="0" fontId="13" fillId="0" borderId="98" xfId="53" applyBorder="1" applyAlignment="1">
      <alignment horizontal="center" vertical="center"/>
      <protection/>
    </xf>
    <xf numFmtId="0" fontId="13" fillId="0" borderId="99" xfId="53" applyBorder="1" applyAlignment="1">
      <alignment horizontal="center" vertical="center"/>
      <protection/>
    </xf>
    <xf numFmtId="3" fontId="13" fillId="0" borderId="99" xfId="53" applyNumberFormat="1" applyBorder="1" applyAlignment="1">
      <alignment horizontal="center" vertical="center"/>
      <protection/>
    </xf>
    <xf numFmtId="0" fontId="53" fillId="0" borderId="100" xfId="53" applyFont="1" applyBorder="1" applyAlignment="1">
      <alignment vertical="center" wrapText="1"/>
      <protection/>
    </xf>
    <xf numFmtId="3" fontId="13" fillId="0" borderId="101" xfId="53" applyNumberFormat="1" applyFont="1" applyBorder="1" applyAlignment="1">
      <alignment horizontal="center" vertical="center" wrapText="1"/>
      <protection/>
    </xf>
    <xf numFmtId="3" fontId="46" fillId="0" borderId="102" xfId="53" applyNumberFormat="1" applyFont="1" applyBorder="1" applyAlignment="1">
      <alignment horizontal="center" vertical="center" wrapText="1"/>
      <protection/>
    </xf>
    <xf numFmtId="3" fontId="13" fillId="0" borderId="103" xfId="53" applyNumberFormat="1" applyBorder="1" applyAlignment="1">
      <alignment horizontal="center" vertical="center" wrapText="1"/>
      <protection/>
    </xf>
    <xf numFmtId="0" fontId="13" fillId="0" borderId="100" xfId="53" applyBorder="1" applyAlignment="1">
      <alignment horizontal="center" vertical="center"/>
      <protection/>
    </xf>
    <xf numFmtId="3" fontId="13" fillId="0" borderId="100" xfId="53" applyNumberFormat="1" applyBorder="1" applyAlignment="1">
      <alignment horizontal="center" vertical="center"/>
      <protection/>
    </xf>
    <xf numFmtId="0" fontId="53" fillId="0" borderId="104" xfId="53" applyFont="1" applyBorder="1" applyAlignment="1">
      <alignment vertical="center" wrapText="1"/>
      <protection/>
    </xf>
    <xf numFmtId="3" fontId="13" fillId="0" borderId="101" xfId="53" applyNumberFormat="1" applyBorder="1" applyAlignment="1">
      <alignment horizontal="center" vertical="center"/>
      <protection/>
    </xf>
    <xf numFmtId="0" fontId="53" fillId="0" borderId="105" xfId="53" applyFont="1" applyBorder="1" applyAlignment="1">
      <alignment vertical="center" wrapText="1"/>
      <protection/>
    </xf>
    <xf numFmtId="3" fontId="13" fillId="0" borderId="105" xfId="53" applyNumberFormat="1" applyBorder="1" applyAlignment="1">
      <alignment horizontal="center" vertical="center"/>
      <protection/>
    </xf>
    <xf numFmtId="3" fontId="46" fillId="0" borderId="106" xfId="53" applyNumberFormat="1" applyFont="1" applyBorder="1" applyAlignment="1">
      <alignment horizontal="center" vertical="center" wrapText="1"/>
      <protection/>
    </xf>
    <xf numFmtId="0" fontId="53" fillId="0" borderId="101" xfId="53" applyFont="1" applyBorder="1" applyAlignment="1">
      <alignment vertical="center" wrapText="1"/>
      <protection/>
    </xf>
    <xf numFmtId="0" fontId="46" fillId="0" borderId="10" xfId="53" applyFont="1" applyBorder="1">
      <alignment/>
      <protection/>
    </xf>
    <xf numFmtId="0" fontId="53" fillId="0" borderId="107" xfId="53" applyFont="1" applyBorder="1" applyAlignment="1">
      <alignment vertical="center" wrapText="1"/>
      <protection/>
    </xf>
    <xf numFmtId="3" fontId="13" fillId="0" borderId="107" xfId="53" applyNumberFormat="1" applyBorder="1" applyAlignment="1">
      <alignment horizontal="center" vertical="center"/>
      <protection/>
    </xf>
    <xf numFmtId="3" fontId="46" fillId="0" borderId="108" xfId="53" applyNumberFormat="1" applyFont="1" applyBorder="1" applyAlignment="1">
      <alignment horizontal="center" vertical="center" wrapText="1"/>
      <protection/>
    </xf>
    <xf numFmtId="3" fontId="46" fillId="0" borderId="109" xfId="53" applyNumberFormat="1" applyFont="1" applyBorder="1" applyAlignment="1">
      <alignment horizontal="center" vertical="center" wrapText="1"/>
      <protection/>
    </xf>
    <xf numFmtId="0" fontId="53" fillId="0" borderId="110" xfId="53" applyFont="1" applyBorder="1" applyAlignment="1">
      <alignment vertical="center" wrapText="1"/>
      <protection/>
    </xf>
    <xf numFmtId="3" fontId="13" fillId="0" borderId="111" xfId="53" applyNumberFormat="1" applyBorder="1" applyAlignment="1">
      <alignment horizontal="center" vertical="center"/>
      <protection/>
    </xf>
    <xf numFmtId="3" fontId="46" fillId="0" borderId="112" xfId="53" applyNumberFormat="1" applyFont="1" applyBorder="1" applyAlignment="1">
      <alignment horizontal="center" vertical="center" wrapText="1"/>
      <protection/>
    </xf>
    <xf numFmtId="3" fontId="13" fillId="0" borderId="113" xfId="53" applyNumberFormat="1" applyBorder="1" applyAlignment="1">
      <alignment horizontal="center" vertical="center"/>
      <protection/>
    </xf>
    <xf numFmtId="0" fontId="53" fillId="0" borderId="114" xfId="53" applyFont="1" applyBorder="1" applyAlignment="1">
      <alignment vertical="center" wrapText="1"/>
      <protection/>
    </xf>
    <xf numFmtId="3" fontId="13" fillId="0" borderId="115" xfId="53" applyNumberFormat="1" applyBorder="1" applyAlignment="1">
      <alignment horizontal="center" vertical="center"/>
      <protection/>
    </xf>
    <xf numFmtId="0" fontId="53" fillId="0" borderId="116" xfId="53" applyFont="1" applyBorder="1" applyAlignment="1">
      <alignment vertical="center" wrapText="1"/>
      <protection/>
    </xf>
    <xf numFmtId="3" fontId="46" fillId="0" borderId="69" xfId="53" applyNumberFormat="1" applyFont="1" applyBorder="1" applyAlignment="1">
      <alignment horizontal="center" vertical="center" wrapText="1"/>
      <protection/>
    </xf>
    <xf numFmtId="0" fontId="53" fillId="0" borderId="117" xfId="53" applyFont="1" applyBorder="1" applyAlignment="1">
      <alignment vertical="center" wrapText="1"/>
      <protection/>
    </xf>
    <xf numFmtId="3" fontId="13" fillId="0" borderId="117" xfId="53" applyNumberFormat="1" applyBorder="1" applyAlignment="1">
      <alignment horizontal="center" vertical="center"/>
      <protection/>
    </xf>
    <xf numFmtId="0" fontId="13" fillId="0" borderId="118" xfId="53" applyBorder="1" applyAlignment="1">
      <alignment horizontal="center" vertical="center"/>
      <protection/>
    </xf>
    <xf numFmtId="0" fontId="13" fillId="0" borderId="119" xfId="53" applyFont="1" applyBorder="1" applyAlignment="1">
      <alignment horizontal="center" vertical="center"/>
      <protection/>
    </xf>
    <xf numFmtId="3" fontId="13" fillId="0" borderId="119" xfId="53" applyNumberFormat="1" applyBorder="1" applyAlignment="1">
      <alignment horizontal="center" vertical="center"/>
      <protection/>
    </xf>
    <xf numFmtId="0" fontId="53" fillId="0" borderId="119" xfId="53" applyFont="1" applyBorder="1" applyAlignment="1">
      <alignment vertical="center" wrapText="1"/>
      <protection/>
    </xf>
    <xf numFmtId="3" fontId="46" fillId="0" borderId="96" xfId="53" applyNumberFormat="1" applyFont="1" applyBorder="1" applyAlignment="1">
      <alignment horizontal="center" vertical="center" wrapText="1"/>
      <protection/>
    </xf>
    <xf numFmtId="3" fontId="13" fillId="0" borderId="103" xfId="53" applyNumberFormat="1" applyBorder="1" applyAlignment="1">
      <alignment vertical="center"/>
      <protection/>
    </xf>
    <xf numFmtId="3" fontId="13" fillId="0" borderId="116" xfId="53" applyNumberFormat="1" applyBorder="1" applyAlignment="1">
      <alignment horizontal="center" vertical="center"/>
      <protection/>
    </xf>
    <xf numFmtId="0" fontId="53" fillId="0" borderId="120" xfId="53" applyFont="1" applyBorder="1" applyAlignment="1">
      <alignment vertical="center" wrapText="1"/>
      <protection/>
    </xf>
    <xf numFmtId="0" fontId="53" fillId="0" borderId="115" xfId="53" applyFont="1" applyBorder="1" applyAlignment="1">
      <alignment vertical="center" wrapText="1"/>
      <protection/>
    </xf>
    <xf numFmtId="3" fontId="13" fillId="0" borderId="121" xfId="53" applyNumberFormat="1" applyBorder="1" applyAlignment="1">
      <alignment horizontal="center" vertical="center"/>
      <protection/>
    </xf>
    <xf numFmtId="0" fontId="42" fillId="0" borderId="0" xfId="53" applyFont="1" applyBorder="1" applyAlignment="1">
      <alignment vertical="top" wrapText="1"/>
      <protection/>
    </xf>
    <xf numFmtId="0" fontId="37" fillId="0" borderId="0" xfId="53" applyFont="1" applyBorder="1" applyAlignment="1">
      <alignment horizontal="center" vertical="center" wrapText="1"/>
      <protection/>
    </xf>
    <xf numFmtId="0" fontId="37" fillId="0" borderId="0" xfId="53" applyFont="1" applyAlignment="1">
      <alignment horizontal="center" vertical="center" wrapText="1"/>
      <protection/>
    </xf>
    <xf numFmtId="0" fontId="54" fillId="0" borderId="100" xfId="53" applyFont="1" applyBorder="1" applyAlignment="1">
      <alignment horizontal="center" vertical="center"/>
      <protection/>
    </xf>
    <xf numFmtId="0" fontId="54" fillId="0" borderId="0" xfId="53" applyFont="1" applyBorder="1" applyAlignment="1">
      <alignment horizontal="center" vertical="center"/>
      <protection/>
    </xf>
    <xf numFmtId="0" fontId="13" fillId="0" borderId="0" xfId="53" applyAlignment="1">
      <alignment horizontal="center" vertical="center"/>
      <protection/>
    </xf>
    <xf numFmtId="0" fontId="13" fillId="0" borderId="115" xfId="53" applyBorder="1" applyAlignment="1">
      <alignment horizontal="center" vertical="center"/>
      <protection/>
    </xf>
    <xf numFmtId="49" fontId="13" fillId="0" borderId="115" xfId="53" applyNumberFormat="1" applyFont="1" applyBorder="1" applyAlignment="1">
      <alignment horizontal="center" vertical="center"/>
      <protection/>
    </xf>
    <xf numFmtId="3" fontId="13" fillId="0" borderId="0" xfId="53" applyNumberFormat="1" applyBorder="1" applyAlignment="1">
      <alignment horizontal="center" vertical="center"/>
      <protection/>
    </xf>
    <xf numFmtId="0" fontId="13" fillId="0" borderId="107" xfId="53" applyBorder="1" applyAlignment="1">
      <alignment horizontal="center" vertical="center"/>
      <protection/>
    </xf>
    <xf numFmtId="49" fontId="13" fillId="0" borderId="107" xfId="53" applyNumberFormat="1" applyFont="1" applyBorder="1" applyAlignment="1">
      <alignment horizontal="center" vertical="center"/>
      <protection/>
    </xf>
    <xf numFmtId="49" fontId="13" fillId="0" borderId="107" xfId="53" applyNumberFormat="1" applyBorder="1" applyAlignment="1">
      <alignment horizontal="center" vertical="center"/>
      <protection/>
    </xf>
    <xf numFmtId="49" fontId="13" fillId="0" borderId="121" xfId="53" applyNumberFormat="1" applyBorder="1" applyAlignment="1">
      <alignment horizontal="center" vertical="center"/>
      <protection/>
    </xf>
    <xf numFmtId="0" fontId="13" fillId="0" borderId="121" xfId="53" applyBorder="1" applyAlignment="1">
      <alignment horizontal="center" vertical="center"/>
      <protection/>
    </xf>
    <xf numFmtId="0" fontId="46" fillId="0" borderId="119" xfId="53" applyFont="1" applyBorder="1" applyAlignment="1">
      <alignment horizontal="center" vertical="center"/>
      <protection/>
    </xf>
    <xf numFmtId="3" fontId="46" fillId="0" borderId="119" xfId="53" applyNumberFormat="1" applyFont="1" applyBorder="1" applyAlignment="1">
      <alignment horizontal="center" vertical="center"/>
      <protection/>
    </xf>
    <xf numFmtId="3" fontId="46" fillId="0" borderId="122" xfId="53" applyNumberFormat="1" applyFont="1" applyBorder="1" applyAlignment="1">
      <alignment horizontal="center" vertical="center"/>
      <protection/>
    </xf>
    <xf numFmtId="3" fontId="46" fillId="0" borderId="0" xfId="53" applyNumberFormat="1" applyFont="1" applyBorder="1" applyAlignment="1">
      <alignment horizontal="center" vertical="center"/>
      <protection/>
    </xf>
    <xf numFmtId="3" fontId="13" fillId="0" borderId="0" xfId="53" applyNumberFormat="1" applyAlignment="1">
      <alignment horizontal="center" vertical="center"/>
      <protection/>
    </xf>
    <xf numFmtId="0" fontId="39" fillId="0" borderId="123" xfId="53" applyFont="1" applyBorder="1" applyAlignment="1">
      <alignment horizontal="center" vertical="center" wrapText="1"/>
      <protection/>
    </xf>
    <xf numFmtId="0" fontId="39" fillId="0" borderId="95" xfId="53" applyFont="1" applyBorder="1" applyAlignment="1">
      <alignment horizontal="center" vertical="center" wrapText="1"/>
      <protection/>
    </xf>
    <xf numFmtId="0" fontId="13" fillId="0" borderId="124" xfId="61" applyFont="1" applyFill="1" applyBorder="1" applyAlignment="1">
      <alignment horizontal="center" vertical="center" wrapText="1"/>
      <protection/>
    </xf>
    <xf numFmtId="0" fontId="13" fillId="0" borderId="45" xfId="61" applyFont="1" applyFill="1" applyBorder="1" applyAlignment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3" fontId="13" fillId="0" borderId="125" xfId="61" applyNumberFormat="1" applyFont="1" applyFill="1" applyBorder="1" applyAlignment="1">
      <alignment horizontal="center" vertical="center" wrapText="1"/>
      <protection/>
    </xf>
    <xf numFmtId="3" fontId="13" fillId="0" borderId="30" xfId="61" applyNumberFormat="1" applyFont="1" applyFill="1" applyBorder="1" applyAlignment="1">
      <alignment horizontal="center" vertical="center" wrapText="1"/>
      <protection/>
    </xf>
    <xf numFmtId="3" fontId="13" fillId="0" borderId="37" xfId="61" applyNumberFormat="1" applyFont="1" applyFill="1" applyBorder="1" applyAlignment="1">
      <alignment horizontal="center" vertical="center" wrapText="1"/>
      <protection/>
    </xf>
    <xf numFmtId="0" fontId="44" fillId="0" borderId="126" xfId="56" applyFont="1" applyFill="1" applyBorder="1" applyAlignment="1">
      <alignment horizontal="left" vertical="center" wrapText="1"/>
      <protection/>
    </xf>
    <xf numFmtId="0" fontId="44" fillId="0" borderId="127" xfId="56" applyFont="1" applyFill="1" applyBorder="1" applyAlignment="1">
      <alignment horizontal="left" vertical="center" wrapText="1"/>
      <protection/>
    </xf>
    <xf numFmtId="0" fontId="37" fillId="0" borderId="128" xfId="61" applyFont="1" applyFill="1" applyBorder="1" applyAlignment="1">
      <alignment horizontal="center" vertical="center" wrapText="1"/>
      <protection/>
    </xf>
    <xf numFmtId="0" fontId="37" fillId="0" borderId="129" xfId="61" applyFont="1" applyFill="1" applyBorder="1" applyAlignment="1">
      <alignment horizontal="center" vertical="center" wrapText="1"/>
      <protection/>
    </xf>
    <xf numFmtId="0" fontId="13" fillId="0" borderId="130" xfId="61" applyFont="1" applyFill="1" applyBorder="1" applyAlignment="1">
      <alignment horizontal="center" vertical="center" wrapText="1"/>
      <protection/>
    </xf>
    <xf numFmtId="0" fontId="13" fillId="0" borderId="125" xfId="61" applyFont="1" applyFill="1" applyBorder="1" applyAlignment="1">
      <alignment horizontal="center" vertical="center" wrapText="1"/>
      <protection/>
    </xf>
    <xf numFmtId="3" fontId="36" fillId="0" borderId="45" xfId="61" applyNumberFormat="1" applyFont="1" applyFill="1" applyBorder="1" applyAlignment="1">
      <alignment vertical="center" wrapText="1"/>
      <protection/>
    </xf>
    <xf numFmtId="3" fontId="36" fillId="0" borderId="131" xfId="61" applyNumberFormat="1" applyFont="1" applyFill="1" applyBorder="1" applyAlignment="1">
      <alignment vertical="center" wrapText="1"/>
      <protection/>
    </xf>
    <xf numFmtId="3" fontId="45" fillId="0" borderId="45" xfId="62" applyNumberFormat="1" applyFont="1" applyFill="1" applyBorder="1" applyAlignment="1">
      <alignment vertical="center" wrapText="1"/>
      <protection/>
    </xf>
    <xf numFmtId="3" fontId="13" fillId="0" borderId="132" xfId="61" applyNumberFormat="1" applyFont="1" applyFill="1" applyBorder="1" applyAlignment="1">
      <alignment horizontal="center" vertical="center" wrapText="1"/>
      <protection/>
    </xf>
    <xf numFmtId="3" fontId="44" fillId="0" borderId="133" xfId="61" applyNumberFormat="1" applyFont="1" applyFill="1" applyBorder="1" applyAlignment="1">
      <alignment vertical="center" wrapText="1"/>
      <protection/>
    </xf>
    <xf numFmtId="3" fontId="44" fillId="0" borderId="134" xfId="61" applyNumberFormat="1" applyFont="1" applyFill="1" applyBorder="1" applyAlignment="1">
      <alignment vertical="center" wrapText="1"/>
      <protection/>
    </xf>
    <xf numFmtId="3" fontId="13" fillId="0" borderId="135" xfId="61" applyNumberFormat="1" applyFont="1" applyFill="1" applyBorder="1" applyAlignment="1">
      <alignment horizontal="center" vertical="center" wrapText="1"/>
      <protection/>
    </xf>
    <xf numFmtId="0" fontId="13" fillId="0" borderId="136" xfId="52" applyFont="1" applyBorder="1" applyAlignment="1">
      <alignment vertical="center"/>
      <protection/>
    </xf>
    <xf numFmtId="0" fontId="8" fillId="25" borderId="10" xfId="0" applyAlignment="1">
      <alignment horizontal="right" vertical="center" wrapText="1" shrinkToFit="1"/>
    </xf>
    <xf numFmtId="0" fontId="8" fillId="25" borderId="10" xfId="0" applyAlignment="1">
      <alignment horizontal="center" vertical="center" wrapText="1" shrinkToFit="1"/>
    </xf>
    <xf numFmtId="0" fontId="8" fillId="25" borderId="10" xfId="0" applyAlignment="1">
      <alignment horizontal="left" vertical="center" wrapText="1" shrinkToFit="1"/>
    </xf>
    <xf numFmtId="0" fontId="8" fillId="25" borderId="12" xfId="0" applyAlignment="1">
      <alignment horizontal="right" vertical="center" wrapText="1" shrinkToFit="1"/>
    </xf>
    <xf numFmtId="0" fontId="5" fillId="24" borderId="0" xfId="0" applyAlignment="1">
      <alignment horizontal="center" vertical="center" wrapText="1" shrinkToFit="1"/>
    </xf>
    <xf numFmtId="0" fontId="7" fillId="24" borderId="0" xfId="0" applyAlignment="1">
      <alignment horizontal="left" vertical="center" wrapText="1" shrinkToFit="1"/>
    </xf>
    <xf numFmtId="49" fontId="8" fillId="25" borderId="12" xfId="0" applyNumberFormat="1" applyAlignment="1">
      <alignment horizontal="center" vertical="center" wrapText="1" shrinkToFit="1"/>
    </xf>
    <xf numFmtId="49" fontId="8" fillId="25" borderId="12" xfId="0" applyNumberFormat="1" applyFont="1" applyAlignment="1">
      <alignment horizontal="center" vertical="center" wrapText="1" shrinkToFit="1"/>
    </xf>
    <xf numFmtId="0" fontId="8" fillId="25" borderId="10" xfId="0" applyFont="1" applyAlignment="1">
      <alignment horizontal="center" vertical="center" wrapText="1" shrinkToFit="1"/>
    </xf>
    <xf numFmtId="49" fontId="8" fillId="25" borderId="10" xfId="0" applyNumberFormat="1" applyFont="1" applyAlignment="1">
      <alignment horizontal="center" vertical="center" wrapText="1" shrinkToFit="1"/>
    </xf>
    <xf numFmtId="49" fontId="8" fillId="25" borderId="10" xfId="0" applyNumberFormat="1" applyAlignment="1">
      <alignment horizontal="center" vertical="center" wrapText="1" shrinkToFit="1"/>
    </xf>
    <xf numFmtId="0" fontId="8" fillId="25" borderId="12" xfId="0" applyAlignment="1">
      <alignment horizontal="center" vertical="center" wrapText="1" shrinkToFit="1"/>
    </xf>
    <xf numFmtId="0" fontId="8" fillId="25" borderId="137" xfId="0" applyBorder="1" applyAlignment="1">
      <alignment horizontal="center" vertical="center" wrapText="1" shrinkToFit="1"/>
    </xf>
    <xf numFmtId="0" fontId="8" fillId="25" borderId="12" xfId="0" applyAlignment="1">
      <alignment horizontal="left" vertical="center" wrapText="1" shrinkToFit="1"/>
    </xf>
    <xf numFmtId="0" fontId="8" fillId="25" borderId="137" xfId="0" applyBorder="1" applyAlignment="1">
      <alignment horizontal="left" vertical="center" wrapText="1" shrinkToFit="1"/>
    </xf>
    <xf numFmtId="4" fontId="8" fillId="25" borderId="12" xfId="0" applyNumberFormat="1" applyAlignment="1">
      <alignment horizontal="right" vertical="center" wrapText="1" shrinkToFit="1"/>
    </xf>
    <xf numFmtId="0" fontId="14" fillId="24" borderId="138" xfId="0" applyFont="1" applyBorder="1" applyAlignment="1">
      <alignment horizontal="center" vertical="center" wrapText="1" shrinkToFit="1"/>
    </xf>
    <xf numFmtId="0" fontId="14" fillId="24" borderId="15" xfId="0" applyFont="1" applyBorder="1" applyAlignment="1">
      <alignment horizontal="center" vertical="center" wrapText="1" shrinkToFit="1"/>
    </xf>
    <xf numFmtId="4" fontId="14" fillId="24" borderId="14" xfId="0" applyNumberFormat="1" applyFont="1" applyBorder="1" applyAlignment="1">
      <alignment horizontal="right" vertical="center" wrapText="1" shrinkToFit="1"/>
    </xf>
    <xf numFmtId="4" fontId="8" fillId="25" borderId="13" xfId="0" applyNumberFormat="1" applyBorder="1" applyAlignment="1">
      <alignment horizontal="right" vertical="center" wrapText="1" shrinkToFit="1"/>
    </xf>
    <xf numFmtId="4" fontId="14" fillId="24" borderId="139" xfId="0" applyNumberFormat="1" applyFont="1" applyBorder="1" applyAlignment="1">
      <alignment horizontal="right" vertical="center" wrapText="1" shrinkToFit="1"/>
    </xf>
    <xf numFmtId="4" fontId="14" fillId="24" borderId="10" xfId="0" applyNumberFormat="1" applyFont="1" applyBorder="1" applyAlignment="1">
      <alignment horizontal="right" vertical="center" wrapText="1" shrinkToFit="1"/>
    </xf>
    <xf numFmtId="4" fontId="14" fillId="24" borderId="140" xfId="0" applyNumberFormat="1" applyFont="1" applyBorder="1" applyAlignment="1">
      <alignment horizontal="right" vertical="center" wrapText="1" shrinkToFit="1"/>
    </xf>
    <xf numFmtId="4" fontId="8" fillId="25" borderId="10" xfId="0" applyNumberFormat="1" applyAlignment="1">
      <alignment horizontal="right" vertical="center" wrapText="1" shrinkToFit="1"/>
    </xf>
    <xf numFmtId="0" fontId="9" fillId="0" borderId="0" xfId="59" applyFont="1" applyFill="1" applyAlignment="1">
      <alignment horizontal="center"/>
      <protection/>
    </xf>
    <xf numFmtId="0" fontId="1" fillId="0" borderId="0" xfId="0" applyNumberFormat="1" applyFill="1" applyBorder="1" applyAlignment="1" applyProtection="1">
      <alignment horizontal="left"/>
      <protection locked="0"/>
    </xf>
    <xf numFmtId="49" fontId="4" fillId="24" borderId="0" xfId="0" applyAlignment="1">
      <alignment horizontal="center" vertical="center" wrapText="1"/>
    </xf>
    <xf numFmtId="49" fontId="0" fillId="25" borderId="10" xfId="0" applyAlignment="1">
      <alignment horizontal="center" vertical="center" wrapText="1"/>
    </xf>
    <xf numFmtId="49" fontId="5" fillId="25" borderId="10" xfId="0" applyAlignment="1">
      <alignment horizontal="center" vertical="center" wrapText="1"/>
    </xf>
    <xf numFmtId="49" fontId="6" fillId="24" borderId="10" xfId="0" applyAlignment="1">
      <alignment horizontal="center" vertical="center" wrapText="1"/>
    </xf>
    <xf numFmtId="49" fontId="2" fillId="25" borderId="10" xfId="0" applyAlignment="1">
      <alignment horizontal="center" vertical="center" wrapText="1"/>
    </xf>
    <xf numFmtId="49" fontId="5" fillId="25" borderId="10" xfId="0" applyAlignment="1">
      <alignment horizontal="left" vertical="center" wrapText="1"/>
    </xf>
    <xf numFmtId="49" fontId="5" fillId="25" borderId="10" xfId="0" applyAlignment="1">
      <alignment horizontal="right" vertical="center" wrapText="1"/>
    </xf>
    <xf numFmtId="49" fontId="6" fillId="24" borderId="141" xfId="0" applyAlignment="1">
      <alignment horizontal="right" vertical="center" wrapText="1"/>
    </xf>
    <xf numFmtId="49" fontId="6" fillId="24" borderId="10" xfId="0" applyAlignment="1">
      <alignment horizontal="right" vertical="center" wrapText="1"/>
    </xf>
    <xf numFmtId="49" fontId="2" fillId="24" borderId="10" xfId="0" applyAlignment="1">
      <alignment horizontal="center" vertical="center" wrapText="1"/>
    </xf>
    <xf numFmtId="49" fontId="5" fillId="24" borderId="10" xfId="0" applyAlignment="1">
      <alignment horizontal="left" vertical="center" wrapText="1"/>
    </xf>
    <xf numFmtId="49" fontId="5" fillId="24" borderId="10" xfId="0" applyAlignment="1">
      <alignment horizontal="right" vertical="center" wrapText="1"/>
    </xf>
    <xf numFmtId="49" fontId="7" fillId="24" borderId="10" xfId="0" applyAlignment="1">
      <alignment horizontal="left" vertical="center" wrapText="1"/>
    </xf>
    <xf numFmtId="49" fontId="7" fillId="24" borderId="10" xfId="0" applyAlignment="1">
      <alignment horizontal="right" vertical="center" wrapText="1"/>
    </xf>
    <xf numFmtId="4" fontId="14" fillId="24" borderId="15" xfId="0" applyNumberFormat="1" applyFont="1" applyBorder="1" applyAlignment="1">
      <alignment horizontal="right" vertical="center" wrapText="1" shrinkToFit="1"/>
    </xf>
    <xf numFmtId="4" fontId="14" fillId="24" borderId="142" xfId="0" applyNumberFormat="1" applyFont="1" applyBorder="1" applyAlignment="1">
      <alignment horizontal="right" vertical="center" wrapText="1" shrinkToFit="1"/>
    </xf>
    <xf numFmtId="0" fontId="14" fillId="24" borderId="143" xfId="0" applyFont="1" applyBorder="1" applyAlignment="1">
      <alignment horizontal="center" vertical="center" wrapText="1" shrinkToFit="1"/>
    </xf>
    <xf numFmtId="0" fontId="14" fillId="24" borderId="14" xfId="0" applyFont="1" applyBorder="1" applyAlignment="1">
      <alignment horizontal="center" vertical="center" wrapText="1" shrinkToFit="1"/>
    </xf>
    <xf numFmtId="0" fontId="14" fillId="24" borderId="144" xfId="0" applyFont="1" applyBorder="1" applyAlignment="1">
      <alignment horizontal="center" vertical="center" wrapText="1" shrinkToFit="1"/>
    </xf>
    <xf numFmtId="0" fontId="14" fillId="24" borderId="10" xfId="0" applyFont="1" applyBorder="1" applyAlignment="1">
      <alignment horizontal="center" vertical="center" wrapText="1" shrinkToFit="1"/>
    </xf>
    <xf numFmtId="0" fontId="37" fillId="0" borderId="128" xfId="56" applyFont="1" applyFill="1" applyBorder="1" applyAlignment="1">
      <alignment horizontal="center" vertical="center" wrapText="1"/>
      <protection/>
    </xf>
    <xf numFmtId="0" fontId="37" fillId="0" borderId="129" xfId="56" applyFont="1" applyFill="1" applyBorder="1" applyAlignment="1">
      <alignment horizontal="center" vertical="center" wrapText="1"/>
      <protection/>
    </xf>
    <xf numFmtId="3" fontId="11" fillId="0" borderId="145" xfId="61" applyNumberFormat="1" applyFont="1" applyFill="1" applyBorder="1" applyAlignment="1">
      <alignment horizontal="center" vertical="center" wrapText="1"/>
      <protection/>
    </xf>
    <xf numFmtId="3" fontId="11" fillId="0" borderId="18" xfId="61" applyNumberFormat="1" applyFont="1" applyFill="1" applyBorder="1" applyAlignment="1">
      <alignment horizontal="center" vertical="center" wrapText="1"/>
      <protection/>
    </xf>
    <xf numFmtId="3" fontId="11" fillId="0" borderId="36" xfId="61" applyNumberFormat="1" applyFont="1" applyFill="1" applyBorder="1" applyAlignment="1">
      <alignment horizontal="center" vertical="center" wrapText="1"/>
      <protection/>
    </xf>
    <xf numFmtId="0" fontId="44" fillId="0" borderId="126" xfId="61" applyFont="1" applyFill="1" applyBorder="1" applyAlignment="1">
      <alignment horizontal="left" vertical="center" wrapText="1"/>
      <protection/>
    </xf>
    <xf numFmtId="0" fontId="44" fillId="0" borderId="146" xfId="56" applyFont="1" applyFill="1" applyBorder="1" applyAlignment="1">
      <alignment horizontal="left" vertical="center" wrapText="1"/>
      <protection/>
    </xf>
    <xf numFmtId="0" fontId="44" fillId="0" borderId="147" xfId="61" applyFont="1" applyFill="1" applyBorder="1" applyAlignment="1">
      <alignment horizontal="left" vertical="center" wrapText="1"/>
      <protection/>
    </xf>
    <xf numFmtId="0" fontId="44" fillId="0" borderId="127" xfId="62" applyFont="1" applyFill="1" applyBorder="1" applyAlignment="1">
      <alignment horizontal="left" vertical="center" wrapText="1"/>
      <protection/>
    </xf>
    <xf numFmtId="0" fontId="37" fillId="0" borderId="148" xfId="56" applyFont="1" applyFill="1" applyBorder="1" applyAlignment="1">
      <alignment horizontal="center" vertical="center" wrapText="1"/>
      <protection/>
    </xf>
    <xf numFmtId="0" fontId="44" fillId="0" borderId="147" xfId="56" applyFont="1" applyFill="1" applyBorder="1" applyAlignment="1">
      <alignment horizontal="left" vertical="center" wrapText="1"/>
      <protection/>
    </xf>
    <xf numFmtId="3" fontId="13" fillId="0" borderId="42" xfId="61" applyNumberFormat="1" applyFont="1" applyFill="1" applyBorder="1" applyAlignment="1">
      <alignment horizontal="center" vertical="center" wrapText="1"/>
      <protection/>
    </xf>
    <xf numFmtId="0" fontId="44" fillId="0" borderId="127" xfId="61" applyFont="1" applyFill="1" applyBorder="1" applyAlignment="1">
      <alignment horizontal="left" vertical="center" wrapText="1"/>
      <protection/>
    </xf>
    <xf numFmtId="0" fontId="13" fillId="0" borderId="20" xfId="61" applyFont="1" applyFill="1" applyBorder="1" applyAlignment="1">
      <alignment horizontal="center" vertical="center" wrapText="1"/>
      <protection/>
    </xf>
    <xf numFmtId="0" fontId="13" fillId="0" borderId="30" xfId="61" applyFont="1" applyFill="1" applyBorder="1" applyAlignment="1">
      <alignment horizontal="center" vertical="center" wrapText="1"/>
      <protection/>
    </xf>
    <xf numFmtId="0" fontId="13" fillId="0" borderId="42" xfId="61" applyFont="1" applyFill="1" applyBorder="1" applyAlignment="1">
      <alignment horizontal="center" vertical="center" wrapText="1"/>
      <protection/>
    </xf>
    <xf numFmtId="3" fontId="11" fillId="0" borderId="13" xfId="61" applyNumberFormat="1" applyFont="1" applyFill="1" applyBorder="1" applyAlignment="1">
      <alignment horizontal="center" vertical="center" wrapText="1"/>
      <protection/>
    </xf>
    <xf numFmtId="3" fontId="11" fillId="0" borderId="28" xfId="61" applyNumberFormat="1" applyFont="1" applyFill="1" applyBorder="1" applyAlignment="1">
      <alignment horizontal="center" vertical="center" wrapText="1"/>
      <protection/>
    </xf>
    <xf numFmtId="3" fontId="13" fillId="0" borderId="20" xfId="61" applyNumberFormat="1" applyFont="1" applyFill="1" applyBorder="1" applyAlignment="1">
      <alignment horizontal="center" vertical="center" wrapText="1"/>
      <protection/>
    </xf>
    <xf numFmtId="3" fontId="13" fillId="0" borderId="26" xfId="61" applyNumberFormat="1" applyFont="1" applyFill="1" applyBorder="1" applyAlignment="1">
      <alignment horizontal="center" vertical="center" wrapText="1"/>
      <protection/>
    </xf>
    <xf numFmtId="3" fontId="45" fillId="0" borderId="145" xfId="62" applyNumberFormat="1" applyFont="1" applyFill="1" applyBorder="1" applyAlignment="1">
      <alignment horizontal="center" vertical="center" wrapText="1"/>
      <protection/>
    </xf>
    <xf numFmtId="3" fontId="45" fillId="0" borderId="36" xfId="62" applyNumberFormat="1" applyFont="1" applyFill="1" applyBorder="1" applyAlignment="1">
      <alignment horizontal="center" vertical="center" wrapText="1"/>
      <protection/>
    </xf>
    <xf numFmtId="0" fontId="37" fillId="0" borderId="148" xfId="61" applyFont="1" applyFill="1" applyBorder="1" applyAlignment="1">
      <alignment horizontal="center" vertical="center" wrapText="1"/>
      <protection/>
    </xf>
    <xf numFmtId="0" fontId="44" fillId="0" borderId="149" xfId="61" applyFont="1" applyFill="1" applyBorder="1" applyAlignment="1">
      <alignment horizontal="left" vertical="center" wrapText="1"/>
      <protection/>
    </xf>
    <xf numFmtId="0" fontId="41" fillId="0" borderId="13" xfId="61" applyFont="1" applyFill="1" applyBorder="1" applyAlignment="1">
      <alignment horizontal="center" vertical="center" wrapText="1"/>
      <protection/>
    </xf>
    <xf numFmtId="0" fontId="40" fillId="0" borderId="10" xfId="61" applyFont="1" applyFill="1" applyBorder="1" applyAlignment="1">
      <alignment horizontal="center" vertical="center" wrapText="1"/>
      <protection/>
    </xf>
    <xf numFmtId="0" fontId="34" fillId="0" borderId="0" xfId="61" applyFont="1" applyBorder="1" applyAlignment="1">
      <alignment horizontal="center" vertical="center" wrapText="1"/>
      <protection/>
    </xf>
    <xf numFmtId="0" fontId="37" fillId="0" borderId="150" xfId="61" applyFont="1" applyFill="1" applyBorder="1" applyAlignment="1">
      <alignment horizontal="center" vertical="center" wrapText="1"/>
      <protection/>
    </xf>
    <xf numFmtId="0" fontId="37" fillId="0" borderId="137" xfId="61" applyFont="1" applyFill="1" applyBorder="1" applyAlignment="1">
      <alignment horizontal="center" vertical="center" wrapText="1"/>
      <protection/>
    </xf>
    <xf numFmtId="0" fontId="37" fillId="0" borderId="12" xfId="61" applyFont="1" applyFill="1" applyBorder="1" applyAlignment="1">
      <alignment horizontal="center" vertical="center" wrapText="1"/>
      <protection/>
    </xf>
    <xf numFmtId="0" fontId="38" fillId="0" borderId="56" xfId="61" applyFont="1" applyFill="1" applyBorder="1" applyAlignment="1">
      <alignment horizontal="center" vertical="center" wrapText="1"/>
      <protection/>
    </xf>
    <xf numFmtId="0" fontId="39" fillId="0" borderId="13" xfId="61" applyFont="1" applyFill="1" applyBorder="1" applyAlignment="1">
      <alignment horizontal="center" vertical="center" wrapText="1"/>
      <protection/>
    </xf>
    <xf numFmtId="0" fontId="37" fillId="0" borderId="10" xfId="61" applyFont="1" applyFill="1" applyBorder="1" applyAlignment="1">
      <alignment horizontal="center" vertical="center" wrapText="1"/>
      <protection/>
    </xf>
    <xf numFmtId="0" fontId="40" fillId="0" borderId="13" xfId="61" applyFont="1" applyFill="1" applyBorder="1" applyAlignment="1">
      <alignment horizontal="center" vertical="center" wrapText="1"/>
      <protection/>
    </xf>
    <xf numFmtId="49" fontId="53" fillId="0" borderId="65" xfId="52" applyNumberFormat="1" applyFont="1" applyFill="1" applyBorder="1" applyAlignment="1">
      <alignment horizontal="center" vertical="center"/>
      <protection/>
    </xf>
    <xf numFmtId="49" fontId="53" fillId="0" borderId="76" xfId="52" applyNumberFormat="1" applyFont="1" applyFill="1" applyBorder="1" applyAlignment="1">
      <alignment horizontal="center" vertical="center"/>
      <protection/>
    </xf>
    <xf numFmtId="0" fontId="4" fillId="0" borderId="151" xfId="52" applyFont="1" applyFill="1" applyBorder="1" applyAlignment="1">
      <alignment horizontal="left" vertical="center" wrapText="1"/>
      <protection/>
    </xf>
    <xf numFmtId="0" fontId="4" fillId="0" borderId="76" xfId="52" applyFont="1" applyFill="1" applyBorder="1" applyAlignment="1">
      <alignment horizontal="left" vertical="center" wrapText="1"/>
      <protection/>
    </xf>
    <xf numFmtId="49" fontId="53" fillId="0" borderId="65" xfId="52" applyNumberFormat="1" applyFont="1" applyFill="1" applyBorder="1" applyAlignment="1">
      <alignment horizontal="center" vertical="center"/>
      <protection/>
    </xf>
    <xf numFmtId="49" fontId="53" fillId="0" borderId="76" xfId="52" applyNumberFormat="1" applyFont="1" applyFill="1" applyBorder="1" applyAlignment="1">
      <alignment horizontal="center" vertical="center"/>
      <protection/>
    </xf>
    <xf numFmtId="49" fontId="53" fillId="0" borderId="152" xfId="52" applyNumberFormat="1" applyFont="1" applyFill="1" applyBorder="1" applyAlignment="1">
      <alignment horizontal="center" vertical="center" wrapText="1"/>
      <protection/>
    </xf>
    <xf numFmtId="49" fontId="53" fillId="0" borderId="65" xfId="52" applyNumberFormat="1" applyFont="1" applyFill="1" applyBorder="1" applyAlignment="1">
      <alignment horizontal="center" vertical="center" wrapText="1"/>
      <protection/>
    </xf>
    <xf numFmtId="49" fontId="53" fillId="0" borderId="76" xfId="52" applyNumberFormat="1" applyFont="1" applyFill="1" applyBorder="1" applyAlignment="1">
      <alignment horizontal="center" vertical="center" wrapText="1"/>
      <protection/>
    </xf>
    <xf numFmtId="0" fontId="57" fillId="0" borderId="76" xfId="52" applyFont="1" applyFill="1" applyBorder="1" applyAlignment="1">
      <alignment horizontal="left" vertical="center" wrapText="1"/>
      <protection/>
    </xf>
    <xf numFmtId="0" fontId="54" fillId="26" borderId="151" xfId="52" applyFont="1" applyFill="1" applyBorder="1" applyAlignment="1">
      <alignment horizontal="center" vertical="center" wrapText="1"/>
      <protection/>
    </xf>
    <xf numFmtId="0" fontId="54" fillId="26" borderId="76" xfId="52" applyFont="1" applyFill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center" vertical="top" wrapText="1"/>
      <protection/>
    </xf>
    <xf numFmtId="0" fontId="39" fillId="26" borderId="153" xfId="52" applyFont="1" applyFill="1" applyBorder="1" applyAlignment="1">
      <alignment horizontal="center" vertical="center" wrapText="1"/>
      <protection/>
    </xf>
    <xf numFmtId="0" fontId="39" fillId="26" borderId="154" xfId="52" applyFont="1" applyFill="1" applyBorder="1" applyAlignment="1">
      <alignment horizontal="center" vertical="center" wrapText="1"/>
      <protection/>
    </xf>
    <xf numFmtId="0" fontId="39" fillId="26" borderId="155" xfId="52" applyFont="1" applyFill="1" applyBorder="1" applyAlignment="1">
      <alignment horizontal="center" vertical="center" wrapText="1"/>
      <protection/>
    </xf>
    <xf numFmtId="0" fontId="54" fillId="26" borderId="81" xfId="52" applyFont="1" applyFill="1" applyBorder="1" applyAlignment="1">
      <alignment horizontal="center" vertical="center" wrapText="1"/>
      <protection/>
    </xf>
    <xf numFmtId="0" fontId="54" fillId="26" borderId="72" xfId="52" applyFont="1" applyFill="1" applyBorder="1" applyAlignment="1">
      <alignment horizontal="center" vertical="center" wrapText="1"/>
      <protection/>
    </xf>
    <xf numFmtId="0" fontId="54" fillId="26" borderId="78" xfId="52" applyFont="1" applyFill="1" applyBorder="1" applyAlignment="1">
      <alignment horizontal="center" vertical="center" wrapText="1"/>
      <protection/>
    </xf>
    <xf numFmtId="0" fontId="54" fillId="26" borderId="156" xfId="52" applyFont="1" applyFill="1" applyBorder="1" applyAlignment="1">
      <alignment horizontal="center" vertical="center" wrapText="1"/>
      <protection/>
    </xf>
    <xf numFmtId="0" fontId="54" fillId="26" borderId="157" xfId="52" applyFont="1" applyFill="1" applyBorder="1" applyAlignment="1">
      <alignment horizontal="center" vertical="center" wrapText="1"/>
      <protection/>
    </xf>
    <xf numFmtId="0" fontId="10" fillId="0" borderId="158" xfId="57" applyBorder="1" applyAlignment="1">
      <alignment horizontal="center" vertical="center" wrapText="1"/>
      <protection/>
    </xf>
    <xf numFmtId="0" fontId="54" fillId="26" borderId="152" xfId="52" applyFont="1" applyFill="1" applyBorder="1" applyAlignment="1">
      <alignment horizontal="center" vertical="center" wrapText="1"/>
      <protection/>
    </xf>
    <xf numFmtId="0" fontId="54" fillId="26" borderId="65" xfId="52" applyFont="1" applyFill="1" applyBorder="1" applyAlignment="1">
      <alignment horizontal="center" vertical="center" wrapText="1"/>
      <protection/>
    </xf>
    <xf numFmtId="0" fontId="54" fillId="26" borderId="159" xfId="52" applyFont="1" applyFill="1" applyBorder="1" applyAlignment="1">
      <alignment horizontal="center" vertical="center" wrapText="1"/>
      <protection/>
    </xf>
    <xf numFmtId="0" fontId="54" fillId="26" borderId="66" xfId="52" applyFont="1" applyFill="1" applyBorder="1" applyAlignment="1">
      <alignment horizontal="center" vertical="center" wrapText="1"/>
      <protection/>
    </xf>
    <xf numFmtId="0" fontId="54" fillId="26" borderId="160" xfId="52" applyFont="1" applyFill="1" applyBorder="1" applyAlignment="1">
      <alignment horizontal="center" vertical="center" wrapText="1"/>
      <protection/>
    </xf>
    <xf numFmtId="0" fontId="34" fillId="0" borderId="0" xfId="54" applyFont="1" applyBorder="1" applyAlignment="1">
      <alignment horizontal="center" vertical="center" wrapText="1"/>
      <protection/>
    </xf>
    <xf numFmtId="0" fontId="40" fillId="0" borderId="148" xfId="54" applyFont="1" applyBorder="1" applyAlignment="1">
      <alignment horizontal="center" vertical="center"/>
      <protection/>
    </xf>
    <xf numFmtId="0" fontId="10" fillId="0" borderId="13" xfId="54" applyFont="1" applyBorder="1" applyAlignment="1">
      <alignment horizontal="center" vertical="center" wrapText="1"/>
      <protection/>
    </xf>
    <xf numFmtId="0" fontId="10" fillId="0" borderId="18" xfId="54" applyFont="1" applyBorder="1" applyAlignment="1">
      <alignment horizontal="center" vertical="center" wrapText="1"/>
      <protection/>
    </xf>
    <xf numFmtId="0" fontId="10" fillId="0" borderId="55" xfId="54" applyFont="1" applyBorder="1" applyAlignment="1">
      <alignment horizontal="center" vertical="center" wrapText="1"/>
      <protection/>
    </xf>
    <xf numFmtId="0" fontId="40" fillId="0" borderId="62" xfId="54" applyFont="1" applyBorder="1" applyAlignment="1">
      <alignment horizontal="right" vertical="center"/>
      <protection/>
    </xf>
    <xf numFmtId="0" fontId="40" fillId="0" borderId="90" xfId="54" applyFont="1" applyBorder="1" applyAlignment="1">
      <alignment horizontal="right" vertical="center"/>
      <protection/>
    </xf>
    <xf numFmtId="0" fontId="40" fillId="0" borderId="63" xfId="54" applyFont="1" applyBorder="1" applyAlignment="1">
      <alignment horizontal="right" vertical="center"/>
      <protection/>
    </xf>
    <xf numFmtId="3" fontId="46" fillId="0" borderId="100" xfId="53" applyNumberFormat="1" applyFont="1" applyBorder="1" applyAlignment="1">
      <alignment horizontal="center" vertical="center"/>
      <protection/>
    </xf>
    <xf numFmtId="3" fontId="46" fillId="0" borderId="161" xfId="53" applyNumberFormat="1" applyFont="1" applyBorder="1" applyAlignment="1">
      <alignment horizontal="center" vertical="center"/>
      <protection/>
    </xf>
    <xf numFmtId="3" fontId="13" fillId="0" borderId="162" xfId="53" applyNumberFormat="1" applyBorder="1" applyAlignment="1">
      <alignment horizontal="center" vertical="center"/>
      <protection/>
    </xf>
    <xf numFmtId="0" fontId="13" fillId="0" borderId="163" xfId="53" applyBorder="1" applyAlignment="1">
      <alignment horizontal="center" vertical="center"/>
      <protection/>
    </xf>
    <xf numFmtId="0" fontId="13" fillId="0" borderId="164" xfId="53" applyBorder="1" applyAlignment="1">
      <alignment horizontal="center" vertical="center"/>
      <protection/>
    </xf>
    <xf numFmtId="3" fontId="13" fillId="0" borderId="163" xfId="53" applyNumberFormat="1" applyBorder="1" applyAlignment="1">
      <alignment horizontal="center" vertical="center"/>
      <protection/>
    </xf>
    <xf numFmtId="3" fontId="13" fillId="0" borderId="164" xfId="53" applyNumberFormat="1" applyBorder="1" applyAlignment="1">
      <alignment horizontal="center" vertical="center"/>
      <protection/>
    </xf>
    <xf numFmtId="3" fontId="13" fillId="0" borderId="103" xfId="53" applyNumberFormat="1" applyBorder="1" applyAlignment="1">
      <alignment horizontal="center" vertical="center"/>
      <protection/>
    </xf>
    <xf numFmtId="0" fontId="13" fillId="0" borderId="103" xfId="53" applyBorder="1" applyAlignment="1">
      <alignment horizontal="center" vertical="center"/>
      <protection/>
    </xf>
    <xf numFmtId="3" fontId="13" fillId="0" borderId="165" xfId="53" applyNumberFormat="1" applyBorder="1" applyAlignment="1">
      <alignment horizontal="center" vertical="center"/>
      <protection/>
    </xf>
    <xf numFmtId="0" fontId="13" fillId="0" borderId="98" xfId="53" applyBorder="1" applyAlignment="1">
      <alignment horizontal="center" vertical="center"/>
      <protection/>
    </xf>
    <xf numFmtId="0" fontId="13" fillId="0" borderId="100" xfId="53" applyBorder="1" applyAlignment="1">
      <alignment horizontal="center" vertical="center"/>
      <protection/>
    </xf>
    <xf numFmtId="3" fontId="13" fillId="0" borderId="100" xfId="53" applyNumberFormat="1" applyBorder="1" applyAlignment="1">
      <alignment horizontal="center" vertical="center"/>
      <protection/>
    </xf>
    <xf numFmtId="0" fontId="13" fillId="0" borderId="166" xfId="53" applyBorder="1" applyAlignment="1">
      <alignment horizontal="center" vertical="center"/>
      <protection/>
    </xf>
    <xf numFmtId="0" fontId="13" fillId="0" borderId="99" xfId="53" applyBorder="1" applyAlignment="1">
      <alignment horizontal="center" vertical="center"/>
      <protection/>
    </xf>
    <xf numFmtId="3" fontId="13" fillId="0" borderId="99" xfId="53" applyNumberFormat="1" applyBorder="1" applyAlignment="1">
      <alignment horizontal="center" vertical="center"/>
      <protection/>
    </xf>
    <xf numFmtId="0" fontId="13" fillId="0" borderId="167" xfId="53" applyBorder="1" applyAlignment="1">
      <alignment horizontal="center" vertical="center"/>
      <protection/>
    </xf>
    <xf numFmtId="0" fontId="13" fillId="0" borderId="168" xfId="53" applyBorder="1" applyAlignment="1">
      <alignment horizontal="center" vertical="center"/>
      <protection/>
    </xf>
    <xf numFmtId="0" fontId="13" fillId="0" borderId="105" xfId="53" applyFont="1" applyBorder="1" applyAlignment="1">
      <alignment horizontal="center" vertical="center"/>
      <protection/>
    </xf>
    <xf numFmtId="0" fontId="13" fillId="0" borderId="116" xfId="53" applyBorder="1" applyAlignment="1">
      <alignment horizontal="center" vertical="center"/>
      <protection/>
    </xf>
    <xf numFmtId="3" fontId="13" fillId="0" borderId="105" xfId="53" applyNumberFormat="1" applyBorder="1" applyAlignment="1">
      <alignment horizontal="center" vertical="center"/>
      <protection/>
    </xf>
    <xf numFmtId="3" fontId="13" fillId="0" borderId="116" xfId="53" applyNumberFormat="1" applyBorder="1" applyAlignment="1">
      <alignment horizontal="center" vertical="center"/>
      <protection/>
    </xf>
    <xf numFmtId="3" fontId="13" fillId="0" borderId="169" xfId="53" applyNumberFormat="1" applyBorder="1" applyAlignment="1">
      <alignment horizontal="center" vertical="center"/>
      <protection/>
    </xf>
    <xf numFmtId="0" fontId="13" fillId="0" borderId="100" xfId="53" applyFont="1" applyBorder="1" applyAlignment="1">
      <alignment horizontal="center" vertical="center" wrapText="1"/>
      <protection/>
    </xf>
    <xf numFmtId="3" fontId="46" fillId="0" borderId="170" xfId="53" applyNumberFormat="1" applyFont="1" applyBorder="1" applyAlignment="1">
      <alignment horizontal="center" vertical="center"/>
      <protection/>
    </xf>
    <xf numFmtId="3" fontId="46" fillId="0" borderId="171" xfId="53" applyNumberFormat="1" applyFont="1" applyBorder="1" applyAlignment="1">
      <alignment horizontal="center" vertical="center"/>
      <protection/>
    </xf>
    <xf numFmtId="0" fontId="37" fillId="0" borderId="0" xfId="53" applyFont="1" applyBorder="1" applyAlignment="1">
      <alignment horizontal="center" vertical="center" wrapText="1"/>
      <protection/>
    </xf>
    <xf numFmtId="0" fontId="54" fillId="0" borderId="98" xfId="53" applyFont="1" applyBorder="1" applyAlignment="1">
      <alignment horizontal="center" vertical="center" wrapText="1"/>
      <protection/>
    </xf>
    <xf numFmtId="0" fontId="54" fillId="0" borderId="100" xfId="53" applyFont="1" applyBorder="1" applyAlignment="1">
      <alignment horizontal="center" vertical="center" wrapText="1"/>
      <protection/>
    </xf>
    <xf numFmtId="0" fontId="54" fillId="0" borderId="172" xfId="53" applyFont="1" applyBorder="1" applyAlignment="1">
      <alignment horizontal="center" vertical="center" wrapText="1"/>
      <protection/>
    </xf>
    <xf numFmtId="0" fontId="54" fillId="0" borderId="161" xfId="53" applyFont="1" applyBorder="1" applyAlignment="1">
      <alignment horizontal="center" vertical="center" wrapText="1"/>
      <protection/>
    </xf>
    <xf numFmtId="3" fontId="13" fillId="0" borderId="161" xfId="53" applyNumberFormat="1" applyBorder="1" applyAlignment="1">
      <alignment horizontal="center" vertical="center"/>
      <protection/>
    </xf>
    <xf numFmtId="0" fontId="46" fillId="0" borderId="62" xfId="53" applyFont="1" applyBorder="1" applyAlignment="1">
      <alignment horizontal="right" vertical="center"/>
      <protection/>
    </xf>
    <xf numFmtId="0" fontId="46" fillId="0" borderId="173" xfId="53" applyFont="1" applyBorder="1" applyAlignment="1">
      <alignment horizontal="right" vertical="center"/>
      <protection/>
    </xf>
    <xf numFmtId="0" fontId="66" fillId="0" borderId="0" xfId="53" applyFont="1" applyBorder="1" applyAlignment="1">
      <alignment horizontal="center" vertical="top"/>
      <protection/>
    </xf>
    <xf numFmtId="3" fontId="46" fillId="0" borderId="62" xfId="53" applyNumberFormat="1" applyFont="1" applyBorder="1" applyAlignment="1">
      <alignment horizontal="center" vertical="center"/>
      <protection/>
    </xf>
    <xf numFmtId="3" fontId="46" fillId="0" borderId="173" xfId="53" applyNumberFormat="1" applyFont="1" applyBorder="1" applyAlignment="1">
      <alignment horizontal="center" vertical="center"/>
      <protection/>
    </xf>
    <xf numFmtId="0" fontId="65" fillId="0" borderId="17" xfId="55" applyFont="1" applyBorder="1" applyAlignment="1">
      <alignment horizontal="center" vertical="center"/>
      <protection/>
    </xf>
    <xf numFmtId="0" fontId="9" fillId="0" borderId="0" xfId="55" applyFont="1" applyBorder="1" applyAlignment="1">
      <alignment horizontal="center" vertical="center" wrapText="1"/>
      <protection/>
    </xf>
    <xf numFmtId="0" fontId="40" fillId="20" borderId="10" xfId="55" applyFont="1" applyFill="1" applyBorder="1" applyAlignment="1">
      <alignment horizontal="center" vertical="center"/>
      <protection/>
    </xf>
    <xf numFmtId="0" fontId="40" fillId="20" borderId="10" xfId="55" applyFont="1" applyFill="1" applyBorder="1" applyAlignment="1">
      <alignment horizontal="center" vertical="center" wrapText="1"/>
      <protection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28647_20060508_140808" xfId="52"/>
    <cellStyle name="Normalny_fundusz budżet-4" xfId="53"/>
    <cellStyle name="Normalny_U_98_budzet 2012" xfId="54"/>
    <cellStyle name="Normalny_U112_zm_budz" xfId="55"/>
    <cellStyle name="Normalny_U15_Zal_budzet_2011" xfId="56"/>
    <cellStyle name="Normalny_ukł wykonawczy_Projekt załączników" xfId="57"/>
    <cellStyle name="Normalny_Zał_budżet_252" xfId="58"/>
    <cellStyle name="Normalny_Zarz60_Zał1_Projekt załączników2007" xfId="59"/>
    <cellStyle name="Normalny_Zarz78_Zał1_Projekt załączników2008" xfId="60"/>
    <cellStyle name="Normalny_Zarz78_Zał1_Projekt załączników2008_U15_Zal_budzet_2011" xfId="61"/>
    <cellStyle name="Normalny_Zarz78_Zał1_Projekt załączników2008_U86_zm_budz" xfId="62"/>
    <cellStyle name="Obliczenia" xfId="63"/>
    <cellStyle name="Followed Hyperlink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e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showGridLines="0" workbookViewId="0" topLeftCell="A1">
      <selection activeCell="Q10" sqref="Q10"/>
    </sheetView>
  </sheetViews>
  <sheetFormatPr defaultColWidth="9.33203125" defaultRowHeight="12.75"/>
  <cols>
    <col min="1" max="1" width="6" style="0" customWidth="1"/>
    <col min="2" max="2" width="8.5" style="0" customWidth="1"/>
    <col min="3" max="3" width="4.33203125" style="0" customWidth="1"/>
    <col min="4" max="4" width="0.4921875" style="0" customWidth="1"/>
    <col min="5" max="5" width="4.33203125" style="0" customWidth="1"/>
    <col min="6" max="6" width="35" style="0" customWidth="1"/>
    <col min="7" max="7" width="7.66015625" style="0" customWidth="1"/>
    <col min="8" max="8" width="1.171875" style="0" customWidth="1"/>
    <col min="9" max="9" width="12.5" style="0" customWidth="1"/>
    <col min="10" max="10" width="11.83203125" style="0" customWidth="1"/>
    <col min="11" max="11" width="1.171875" style="0" customWidth="1"/>
    <col min="12" max="12" width="5.66015625" style="0" customWidth="1"/>
    <col min="13" max="13" width="4" style="0" customWidth="1"/>
    <col min="14" max="14" width="0.4921875" style="0" customWidth="1"/>
    <col min="15" max="15" width="3.66015625" style="0" customWidth="1"/>
  </cols>
  <sheetData>
    <row r="1" spans="1:15" s="19" customFormat="1" ht="21.75" customHeight="1">
      <c r="A1" s="446" t="s">
        <v>103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</row>
    <row r="2" spans="1:16" ht="13.5" customHeight="1">
      <c r="A2" s="447"/>
      <c r="B2" s="447"/>
      <c r="C2" s="447"/>
      <c r="D2" s="448"/>
      <c r="E2" s="448"/>
      <c r="F2" s="448"/>
      <c r="G2" s="448"/>
      <c r="H2" s="448"/>
      <c r="I2" s="447"/>
      <c r="J2" s="447"/>
      <c r="K2" s="447"/>
      <c r="L2" s="447"/>
      <c r="M2" s="447"/>
      <c r="N2" s="447"/>
      <c r="O2" s="447"/>
      <c r="P2" s="1"/>
    </row>
    <row r="3" spans="1:16" ht="34.5" customHeight="1">
      <c r="A3" s="2" t="s">
        <v>1</v>
      </c>
      <c r="B3" s="2" t="s">
        <v>2</v>
      </c>
      <c r="C3" s="449" t="s">
        <v>3</v>
      </c>
      <c r="D3" s="449"/>
      <c r="E3" s="449" t="s">
        <v>4</v>
      </c>
      <c r="F3" s="449"/>
      <c r="G3" s="449"/>
      <c r="H3" s="449" t="s">
        <v>5</v>
      </c>
      <c r="I3" s="449"/>
      <c r="J3" s="2" t="s">
        <v>6</v>
      </c>
      <c r="K3" s="449" t="s">
        <v>7</v>
      </c>
      <c r="L3" s="449"/>
      <c r="M3" s="449"/>
      <c r="N3" s="449"/>
      <c r="O3" s="449"/>
      <c r="P3" s="1"/>
    </row>
    <row r="4" spans="1:16" ht="11.25" customHeight="1">
      <c r="A4" s="3" t="s">
        <v>8</v>
      </c>
      <c r="B4" s="3" t="s">
        <v>9</v>
      </c>
      <c r="C4" s="450" t="s">
        <v>10</v>
      </c>
      <c r="D4" s="450"/>
      <c r="E4" s="450" t="s">
        <v>11</v>
      </c>
      <c r="F4" s="450"/>
      <c r="G4" s="450"/>
      <c r="H4" s="450" t="s">
        <v>12</v>
      </c>
      <c r="I4" s="450"/>
      <c r="J4" s="3" t="s">
        <v>13</v>
      </c>
      <c r="K4" s="450" t="s">
        <v>14</v>
      </c>
      <c r="L4" s="450"/>
      <c r="M4" s="450"/>
      <c r="N4" s="450"/>
      <c r="O4" s="450"/>
      <c r="P4" s="1"/>
    </row>
    <row r="5" spans="1:16" ht="13.5" customHeight="1">
      <c r="A5" s="451" t="s">
        <v>15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1"/>
    </row>
    <row r="6" spans="1:16" ht="13.5" customHeight="1">
      <c r="A6" s="3" t="s">
        <v>16</v>
      </c>
      <c r="B6" s="4"/>
      <c r="C6" s="452"/>
      <c r="D6" s="452"/>
      <c r="E6" s="453" t="s">
        <v>17</v>
      </c>
      <c r="F6" s="453"/>
      <c r="G6" s="453"/>
      <c r="H6" s="454" t="s">
        <v>18</v>
      </c>
      <c r="I6" s="454"/>
      <c r="J6" s="5" t="s">
        <v>20</v>
      </c>
      <c r="K6" s="454" t="s">
        <v>21</v>
      </c>
      <c r="L6" s="454"/>
      <c r="M6" s="454"/>
      <c r="N6" s="454"/>
      <c r="O6" s="454"/>
      <c r="P6" s="1"/>
    </row>
    <row r="7" spans="1:16" ht="28.5" customHeight="1">
      <c r="A7" s="2"/>
      <c r="B7" s="4"/>
      <c r="C7" s="452"/>
      <c r="D7" s="452"/>
      <c r="E7" s="453" t="s">
        <v>22</v>
      </c>
      <c r="F7" s="453"/>
      <c r="G7" s="453"/>
      <c r="H7" s="454" t="s">
        <v>19</v>
      </c>
      <c r="I7" s="454"/>
      <c r="J7" s="5" t="s">
        <v>19</v>
      </c>
      <c r="K7" s="454" t="s">
        <v>19</v>
      </c>
      <c r="L7" s="454"/>
      <c r="M7" s="454"/>
      <c r="N7" s="454"/>
      <c r="O7" s="454"/>
      <c r="P7" s="1"/>
    </row>
    <row r="8" spans="1:16" ht="13.5" customHeight="1">
      <c r="A8" s="4"/>
      <c r="B8" s="3" t="s">
        <v>23</v>
      </c>
      <c r="C8" s="452"/>
      <c r="D8" s="452"/>
      <c r="E8" s="453" t="s">
        <v>24</v>
      </c>
      <c r="F8" s="453"/>
      <c r="G8" s="453"/>
      <c r="H8" s="454" t="s">
        <v>25</v>
      </c>
      <c r="I8" s="454"/>
      <c r="J8" s="5" t="s">
        <v>20</v>
      </c>
      <c r="K8" s="454" t="s">
        <v>26</v>
      </c>
      <c r="L8" s="454"/>
      <c r="M8" s="454"/>
      <c r="N8" s="454"/>
      <c r="O8" s="454"/>
      <c r="P8" s="1"/>
    </row>
    <row r="9" spans="1:16" ht="28.5" customHeight="1">
      <c r="A9" s="4"/>
      <c r="B9" s="2"/>
      <c r="C9" s="452"/>
      <c r="D9" s="452"/>
      <c r="E9" s="453" t="s">
        <v>22</v>
      </c>
      <c r="F9" s="453"/>
      <c r="G9" s="453"/>
      <c r="H9" s="454" t="s">
        <v>19</v>
      </c>
      <c r="I9" s="454"/>
      <c r="J9" s="5" t="s">
        <v>19</v>
      </c>
      <c r="K9" s="454" t="s">
        <v>19</v>
      </c>
      <c r="L9" s="454"/>
      <c r="M9" s="454"/>
      <c r="N9" s="454"/>
      <c r="O9" s="454"/>
      <c r="P9" s="1"/>
    </row>
    <row r="10" spans="1:16" ht="23.25" customHeight="1">
      <c r="A10" s="4"/>
      <c r="B10" s="4"/>
      <c r="C10" s="450" t="s">
        <v>27</v>
      </c>
      <c r="D10" s="450"/>
      <c r="E10" s="453" t="s">
        <v>28</v>
      </c>
      <c r="F10" s="453"/>
      <c r="G10" s="453"/>
      <c r="H10" s="454" t="s">
        <v>19</v>
      </c>
      <c r="I10" s="454"/>
      <c r="J10" s="5" t="s">
        <v>20</v>
      </c>
      <c r="K10" s="454" t="s">
        <v>20</v>
      </c>
      <c r="L10" s="454"/>
      <c r="M10" s="454"/>
      <c r="N10" s="454"/>
      <c r="O10" s="454"/>
      <c r="P10" s="1"/>
    </row>
    <row r="11" spans="1:16" ht="13.5" customHeight="1">
      <c r="A11" s="3" t="s">
        <v>29</v>
      </c>
      <c r="B11" s="4"/>
      <c r="C11" s="452"/>
      <c r="D11" s="452"/>
      <c r="E11" s="453" t="s">
        <v>30</v>
      </c>
      <c r="F11" s="453"/>
      <c r="G11" s="453"/>
      <c r="H11" s="454" t="s">
        <v>31</v>
      </c>
      <c r="I11" s="454"/>
      <c r="J11" s="5" t="s">
        <v>32</v>
      </c>
      <c r="K11" s="454" t="s">
        <v>33</v>
      </c>
      <c r="L11" s="454"/>
      <c r="M11" s="454"/>
      <c r="N11" s="454"/>
      <c r="O11" s="454"/>
      <c r="P11" s="1"/>
    </row>
    <row r="12" spans="1:16" ht="28.5" customHeight="1">
      <c r="A12" s="2"/>
      <c r="B12" s="4"/>
      <c r="C12" s="452"/>
      <c r="D12" s="452"/>
      <c r="E12" s="453" t="s">
        <v>22</v>
      </c>
      <c r="F12" s="453"/>
      <c r="G12" s="453"/>
      <c r="H12" s="454" t="s">
        <v>34</v>
      </c>
      <c r="I12" s="454"/>
      <c r="J12" s="5" t="s">
        <v>32</v>
      </c>
      <c r="K12" s="454" t="s">
        <v>35</v>
      </c>
      <c r="L12" s="454"/>
      <c r="M12" s="454"/>
      <c r="N12" s="454"/>
      <c r="O12" s="454"/>
      <c r="P12" s="1"/>
    </row>
    <row r="13" spans="1:16" ht="13.5" customHeight="1">
      <c r="A13" s="4"/>
      <c r="B13" s="3" t="s">
        <v>36</v>
      </c>
      <c r="C13" s="452"/>
      <c r="D13" s="452"/>
      <c r="E13" s="453" t="s">
        <v>37</v>
      </c>
      <c r="F13" s="453"/>
      <c r="G13" s="453"/>
      <c r="H13" s="454" t="s">
        <v>38</v>
      </c>
      <c r="I13" s="454"/>
      <c r="J13" s="5" t="s">
        <v>32</v>
      </c>
      <c r="K13" s="454" t="s">
        <v>39</v>
      </c>
      <c r="L13" s="454"/>
      <c r="M13" s="454"/>
      <c r="N13" s="454"/>
      <c r="O13" s="454"/>
      <c r="P13" s="1"/>
    </row>
    <row r="14" spans="1:16" ht="28.5" customHeight="1">
      <c r="A14" s="4"/>
      <c r="B14" s="2"/>
      <c r="C14" s="452"/>
      <c r="D14" s="452"/>
      <c r="E14" s="453" t="s">
        <v>22</v>
      </c>
      <c r="F14" s="453"/>
      <c r="G14" s="453"/>
      <c r="H14" s="454" t="s">
        <v>34</v>
      </c>
      <c r="I14" s="454"/>
      <c r="J14" s="5" t="s">
        <v>32</v>
      </c>
      <c r="K14" s="454" t="s">
        <v>35</v>
      </c>
      <c r="L14" s="454"/>
      <c r="M14" s="454"/>
      <c r="N14" s="454"/>
      <c r="O14" s="454"/>
      <c r="P14" s="1"/>
    </row>
    <row r="15" spans="1:16" ht="39" customHeight="1">
      <c r="A15" s="4"/>
      <c r="B15" s="4"/>
      <c r="C15" s="450" t="s">
        <v>40</v>
      </c>
      <c r="D15" s="450"/>
      <c r="E15" s="453" t="s">
        <v>41</v>
      </c>
      <c r="F15" s="453"/>
      <c r="G15" s="453"/>
      <c r="H15" s="454" t="s">
        <v>42</v>
      </c>
      <c r="I15" s="454"/>
      <c r="J15" s="5" t="s">
        <v>43</v>
      </c>
      <c r="K15" s="454" t="s">
        <v>44</v>
      </c>
      <c r="L15" s="454"/>
      <c r="M15" s="454"/>
      <c r="N15" s="454"/>
      <c r="O15" s="454"/>
      <c r="P15" s="1"/>
    </row>
    <row r="16" spans="1:16" ht="39" customHeight="1">
      <c r="A16" s="4"/>
      <c r="B16" s="4"/>
      <c r="C16" s="450" t="s">
        <v>45</v>
      </c>
      <c r="D16" s="450"/>
      <c r="E16" s="453" t="s">
        <v>41</v>
      </c>
      <c r="F16" s="453"/>
      <c r="G16" s="453"/>
      <c r="H16" s="454" t="s">
        <v>46</v>
      </c>
      <c r="I16" s="454"/>
      <c r="J16" s="5" t="s">
        <v>47</v>
      </c>
      <c r="K16" s="454" t="s">
        <v>48</v>
      </c>
      <c r="L16" s="454"/>
      <c r="M16" s="454"/>
      <c r="N16" s="454"/>
      <c r="O16" s="454"/>
      <c r="P16" s="1"/>
    </row>
    <row r="17" spans="1:16" ht="13.5" customHeight="1">
      <c r="A17" s="455" t="s">
        <v>15</v>
      </c>
      <c r="B17" s="455"/>
      <c r="C17" s="455"/>
      <c r="D17" s="455"/>
      <c r="E17" s="455"/>
      <c r="F17" s="455"/>
      <c r="G17" s="6" t="s">
        <v>49</v>
      </c>
      <c r="H17" s="456" t="s">
        <v>50</v>
      </c>
      <c r="I17" s="456"/>
      <c r="J17" s="7" t="s">
        <v>51</v>
      </c>
      <c r="K17" s="456" t="s">
        <v>52</v>
      </c>
      <c r="L17" s="456"/>
      <c r="M17" s="456"/>
      <c r="N17" s="456"/>
      <c r="O17" s="456"/>
      <c r="P17" s="1"/>
    </row>
    <row r="18" spans="1:16" ht="28.5" customHeight="1">
      <c r="A18" s="457"/>
      <c r="B18" s="457"/>
      <c r="C18" s="457"/>
      <c r="D18" s="457"/>
      <c r="E18" s="458" t="s">
        <v>22</v>
      </c>
      <c r="F18" s="458"/>
      <c r="G18" s="458"/>
      <c r="H18" s="459" t="s">
        <v>53</v>
      </c>
      <c r="I18" s="459"/>
      <c r="J18" s="8" t="s">
        <v>32</v>
      </c>
      <c r="K18" s="459" t="s">
        <v>54</v>
      </c>
      <c r="L18" s="459"/>
      <c r="M18" s="459"/>
      <c r="N18" s="459"/>
      <c r="O18" s="459"/>
      <c r="P18" s="1"/>
    </row>
    <row r="19" spans="1:16" ht="11.25" customHeight="1">
      <c r="A19" s="447"/>
      <c r="B19" s="447"/>
      <c r="C19" s="447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1"/>
    </row>
    <row r="20" spans="1:16" ht="13.5" customHeight="1">
      <c r="A20" s="451" t="s">
        <v>55</v>
      </c>
      <c r="B20" s="451"/>
      <c r="C20" s="451"/>
      <c r="D20" s="451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451"/>
      <c r="P20" s="1"/>
    </row>
    <row r="21" spans="1:16" ht="13.5" customHeight="1">
      <c r="A21" s="3" t="s">
        <v>16</v>
      </c>
      <c r="B21" s="4"/>
      <c r="C21" s="452"/>
      <c r="D21" s="452"/>
      <c r="E21" s="453" t="s">
        <v>17</v>
      </c>
      <c r="F21" s="453"/>
      <c r="G21" s="453"/>
      <c r="H21" s="454" t="s">
        <v>19</v>
      </c>
      <c r="I21" s="454"/>
      <c r="J21" s="5" t="s">
        <v>56</v>
      </c>
      <c r="K21" s="454" t="s">
        <v>56</v>
      </c>
      <c r="L21" s="454"/>
      <c r="M21" s="454"/>
      <c r="N21" s="454"/>
      <c r="O21" s="454"/>
      <c r="P21" s="1"/>
    </row>
    <row r="22" spans="1:16" ht="28.5" customHeight="1">
      <c r="A22" s="2"/>
      <c r="B22" s="4"/>
      <c r="C22" s="452"/>
      <c r="D22" s="452"/>
      <c r="E22" s="453" t="s">
        <v>22</v>
      </c>
      <c r="F22" s="453"/>
      <c r="G22" s="453"/>
      <c r="H22" s="454" t="s">
        <v>19</v>
      </c>
      <c r="I22" s="454"/>
      <c r="J22" s="5" t="s">
        <v>19</v>
      </c>
      <c r="K22" s="454" t="s">
        <v>19</v>
      </c>
      <c r="L22" s="454"/>
      <c r="M22" s="454"/>
      <c r="N22" s="454"/>
      <c r="O22" s="454"/>
      <c r="P22" s="1"/>
    </row>
    <row r="23" spans="1:16" ht="13.5" customHeight="1">
      <c r="A23" s="4"/>
      <c r="B23" s="3" t="s">
        <v>23</v>
      </c>
      <c r="C23" s="452"/>
      <c r="D23" s="452"/>
      <c r="E23" s="453" t="s">
        <v>24</v>
      </c>
      <c r="F23" s="453"/>
      <c r="G23" s="453"/>
      <c r="H23" s="454" t="s">
        <v>19</v>
      </c>
      <c r="I23" s="454"/>
      <c r="J23" s="5" t="s">
        <v>56</v>
      </c>
      <c r="K23" s="454" t="s">
        <v>56</v>
      </c>
      <c r="L23" s="454"/>
      <c r="M23" s="454"/>
      <c r="N23" s="454"/>
      <c r="O23" s="454"/>
      <c r="P23" s="1"/>
    </row>
    <row r="24" spans="1:16" ht="28.5" customHeight="1">
      <c r="A24" s="4"/>
      <c r="B24" s="2"/>
      <c r="C24" s="452"/>
      <c r="D24" s="452"/>
      <c r="E24" s="453" t="s">
        <v>22</v>
      </c>
      <c r="F24" s="453"/>
      <c r="G24" s="453"/>
      <c r="H24" s="454" t="s">
        <v>19</v>
      </c>
      <c r="I24" s="454"/>
      <c r="J24" s="5" t="s">
        <v>19</v>
      </c>
      <c r="K24" s="454" t="s">
        <v>19</v>
      </c>
      <c r="L24" s="454"/>
      <c r="M24" s="454"/>
      <c r="N24" s="454"/>
      <c r="O24" s="454"/>
      <c r="P24" s="1"/>
    </row>
    <row r="25" spans="1:16" ht="30.75" customHeight="1">
      <c r="A25" s="4"/>
      <c r="B25" s="4"/>
      <c r="C25" s="450" t="s">
        <v>57</v>
      </c>
      <c r="D25" s="450"/>
      <c r="E25" s="453" t="s">
        <v>58</v>
      </c>
      <c r="F25" s="453"/>
      <c r="G25" s="453"/>
      <c r="H25" s="454" t="s">
        <v>19</v>
      </c>
      <c r="I25" s="454"/>
      <c r="J25" s="5" t="s">
        <v>56</v>
      </c>
      <c r="K25" s="454" t="s">
        <v>56</v>
      </c>
      <c r="L25" s="454"/>
      <c r="M25" s="454"/>
      <c r="N25" s="454"/>
      <c r="O25" s="454"/>
      <c r="P25" s="1"/>
    </row>
    <row r="26" spans="1:16" ht="13.5" customHeight="1">
      <c r="A26" s="455" t="s">
        <v>55</v>
      </c>
      <c r="B26" s="455"/>
      <c r="C26" s="455"/>
      <c r="D26" s="455"/>
      <c r="E26" s="455"/>
      <c r="F26" s="455"/>
      <c r="G26" s="6" t="s">
        <v>49</v>
      </c>
      <c r="H26" s="456" t="s">
        <v>59</v>
      </c>
      <c r="I26" s="456"/>
      <c r="J26" s="7" t="s">
        <v>56</v>
      </c>
      <c r="K26" s="456" t="s">
        <v>60</v>
      </c>
      <c r="L26" s="456"/>
      <c r="M26" s="456"/>
      <c r="N26" s="456"/>
      <c r="O26" s="456"/>
      <c r="P26" s="1"/>
    </row>
    <row r="27" spans="1:16" ht="28.5" customHeight="1">
      <c r="A27" s="457"/>
      <c r="B27" s="457"/>
      <c r="C27" s="457"/>
      <c r="D27" s="457"/>
      <c r="E27" s="458" t="s">
        <v>22</v>
      </c>
      <c r="F27" s="458"/>
      <c r="G27" s="458"/>
      <c r="H27" s="459" t="s">
        <v>61</v>
      </c>
      <c r="I27" s="459"/>
      <c r="J27" s="8" t="s">
        <v>19</v>
      </c>
      <c r="K27" s="459" t="s">
        <v>61</v>
      </c>
      <c r="L27" s="459"/>
      <c r="M27" s="459"/>
      <c r="N27" s="459"/>
      <c r="O27" s="459"/>
      <c r="P27" s="1"/>
    </row>
    <row r="28" spans="1:16" ht="11.25" customHeight="1">
      <c r="A28" s="447"/>
      <c r="B28" s="447"/>
      <c r="C28" s="447"/>
      <c r="D28" s="447"/>
      <c r="E28" s="447"/>
      <c r="F28" s="447"/>
      <c r="G28" s="447"/>
      <c r="H28" s="447"/>
      <c r="I28" s="447"/>
      <c r="J28" s="447"/>
      <c r="K28" s="447"/>
      <c r="L28" s="447"/>
      <c r="M28" s="447"/>
      <c r="N28" s="447"/>
      <c r="O28" s="447"/>
      <c r="P28" s="1"/>
    </row>
    <row r="29" spans="1:16" ht="13.5" customHeight="1">
      <c r="A29" s="451" t="s">
        <v>62</v>
      </c>
      <c r="B29" s="451"/>
      <c r="C29" s="451"/>
      <c r="D29" s="451"/>
      <c r="E29" s="451"/>
      <c r="F29" s="451"/>
      <c r="G29" s="451"/>
      <c r="H29" s="456" t="s">
        <v>63</v>
      </c>
      <c r="I29" s="456"/>
      <c r="J29" s="7" t="s">
        <v>64</v>
      </c>
      <c r="K29" s="456" t="s">
        <v>65</v>
      </c>
      <c r="L29" s="456"/>
      <c r="M29" s="456"/>
      <c r="N29" s="456"/>
      <c r="O29" s="456"/>
      <c r="P29" s="1"/>
    </row>
    <row r="30" spans="1:16" ht="31.5" customHeight="1">
      <c r="A30" s="451"/>
      <c r="B30" s="451"/>
      <c r="C30" s="451"/>
      <c r="D30" s="451"/>
      <c r="E30" s="460" t="s">
        <v>22</v>
      </c>
      <c r="F30" s="460"/>
      <c r="G30" s="460"/>
      <c r="H30" s="461" t="s">
        <v>66</v>
      </c>
      <c r="I30" s="461"/>
      <c r="J30" s="9" t="s">
        <v>32</v>
      </c>
      <c r="K30" s="461" t="s">
        <v>67</v>
      </c>
      <c r="L30" s="461"/>
      <c r="M30" s="461"/>
      <c r="N30" s="461"/>
      <c r="O30" s="461"/>
      <c r="P30" s="1"/>
    </row>
  </sheetData>
  <mergeCells count="101">
    <mergeCell ref="A30:D30"/>
    <mergeCell ref="E30:G30"/>
    <mergeCell ref="H30:I30"/>
    <mergeCell ref="K30:O30"/>
    <mergeCell ref="A28:O28"/>
    <mergeCell ref="A29:G29"/>
    <mergeCell ref="H29:I29"/>
    <mergeCell ref="K29:O29"/>
    <mergeCell ref="A26:F26"/>
    <mergeCell ref="H26:I26"/>
    <mergeCell ref="K26:O26"/>
    <mergeCell ref="A27:D27"/>
    <mergeCell ref="E27:G27"/>
    <mergeCell ref="H27:I27"/>
    <mergeCell ref="K27:O27"/>
    <mergeCell ref="C25:D25"/>
    <mergeCell ref="E25:G25"/>
    <mergeCell ref="H25:I25"/>
    <mergeCell ref="K25:O25"/>
    <mergeCell ref="C24:D24"/>
    <mergeCell ref="E24:G24"/>
    <mergeCell ref="H24:I24"/>
    <mergeCell ref="K24:O24"/>
    <mergeCell ref="C23:D23"/>
    <mergeCell ref="E23:G23"/>
    <mergeCell ref="H23:I23"/>
    <mergeCell ref="K23:O23"/>
    <mergeCell ref="C22:D22"/>
    <mergeCell ref="E22:G22"/>
    <mergeCell ref="H22:I22"/>
    <mergeCell ref="K22:O22"/>
    <mergeCell ref="A19:O19"/>
    <mergeCell ref="A20:O20"/>
    <mergeCell ref="C21:D21"/>
    <mergeCell ref="E21:G21"/>
    <mergeCell ref="H21:I21"/>
    <mergeCell ref="K21:O21"/>
    <mergeCell ref="A17:F17"/>
    <mergeCell ref="H17:I17"/>
    <mergeCell ref="K17:O17"/>
    <mergeCell ref="A18:D18"/>
    <mergeCell ref="E18:G18"/>
    <mergeCell ref="H18:I18"/>
    <mergeCell ref="K18:O18"/>
    <mergeCell ref="C16:D16"/>
    <mergeCell ref="E16:G16"/>
    <mergeCell ref="H16:I16"/>
    <mergeCell ref="K16:O16"/>
    <mergeCell ref="C15:D15"/>
    <mergeCell ref="E15:G15"/>
    <mergeCell ref="H15:I15"/>
    <mergeCell ref="K15:O15"/>
    <mergeCell ref="C14:D14"/>
    <mergeCell ref="E14:G14"/>
    <mergeCell ref="H14:I14"/>
    <mergeCell ref="K14:O14"/>
    <mergeCell ref="C13:D13"/>
    <mergeCell ref="E13:G13"/>
    <mergeCell ref="H13:I13"/>
    <mergeCell ref="K13:O13"/>
    <mergeCell ref="C12:D12"/>
    <mergeCell ref="E12:G12"/>
    <mergeCell ref="H12:I12"/>
    <mergeCell ref="K12:O12"/>
    <mergeCell ref="C11:D11"/>
    <mergeCell ref="E11:G11"/>
    <mergeCell ref="H11:I11"/>
    <mergeCell ref="K11:O11"/>
    <mergeCell ref="C10:D10"/>
    <mergeCell ref="E10:G10"/>
    <mergeCell ref="H10:I10"/>
    <mergeCell ref="K10:O10"/>
    <mergeCell ref="C9:D9"/>
    <mergeCell ref="E9:G9"/>
    <mergeCell ref="H9:I9"/>
    <mergeCell ref="K9:O9"/>
    <mergeCell ref="C8:D8"/>
    <mergeCell ref="E8:G8"/>
    <mergeCell ref="H8:I8"/>
    <mergeCell ref="K8:O8"/>
    <mergeCell ref="C7:D7"/>
    <mergeCell ref="E7:G7"/>
    <mergeCell ref="H7:I7"/>
    <mergeCell ref="K7:O7"/>
    <mergeCell ref="A5:O5"/>
    <mergeCell ref="C6:D6"/>
    <mergeCell ref="E6:G6"/>
    <mergeCell ref="H6:I6"/>
    <mergeCell ref="K6:O6"/>
    <mergeCell ref="C4:D4"/>
    <mergeCell ref="E4:G4"/>
    <mergeCell ref="H4:I4"/>
    <mergeCell ref="K4:O4"/>
    <mergeCell ref="C3:D3"/>
    <mergeCell ref="E3:G3"/>
    <mergeCell ref="H3:I3"/>
    <mergeCell ref="K3:O3"/>
    <mergeCell ref="A1:O1"/>
    <mergeCell ref="A2:C2"/>
    <mergeCell ref="D2:H2"/>
    <mergeCell ref="I2:O2"/>
  </mergeCells>
  <printOptions/>
  <pageMargins left="0.75" right="0.75" top="1" bottom="1" header="0.29" footer="0.5"/>
  <pageSetup horizontalDpi="600" verticalDpi="600" orientation="portrait" paperSize="9" r:id="rId1"/>
  <headerFooter alignWithMargins="0">
    <oddHeader>&amp;R&amp;"Arial,Pogrubiony"Załącznik Nr 1&amp;"Arial,Normalny"
do Uchwały Nr XXIV/146/2012
Rady Gminy Miłkowice
z dnia 28 września 2012r.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81"/>
  <sheetViews>
    <sheetView showGridLines="0" zoomScale="140" zoomScaleNormal="140" workbookViewId="0" topLeftCell="O55">
      <selection activeCell="G81" sqref="G81:H81"/>
    </sheetView>
  </sheetViews>
  <sheetFormatPr defaultColWidth="9.33203125" defaultRowHeight="12.75"/>
  <cols>
    <col min="1" max="1" width="3" style="0" customWidth="1"/>
    <col min="2" max="2" width="1.171875" style="0" customWidth="1"/>
    <col min="3" max="3" width="5.83203125" style="0" customWidth="1"/>
    <col min="4" max="4" width="12.16015625" style="0" customWidth="1"/>
    <col min="5" max="5" width="14.16015625" style="0" customWidth="1"/>
    <col min="6" max="6" width="8.5" style="0" customWidth="1"/>
    <col min="7" max="7" width="7" style="0" customWidth="1"/>
    <col min="8" max="8" width="4.5" style="0" customWidth="1"/>
    <col min="9" max="9" width="11" style="0" customWidth="1"/>
    <col min="10" max="10" width="10.16015625" style="0" customWidth="1"/>
    <col min="11" max="12" width="9.5" style="0" customWidth="1"/>
    <col min="13" max="17" width="8.83203125" style="0" customWidth="1"/>
    <col min="18" max="18" width="11" style="0" customWidth="1"/>
    <col min="19" max="19" width="9.5" style="0" customWidth="1"/>
    <col min="20" max="20" width="1.83203125" style="0" customWidth="1"/>
    <col min="21" max="21" width="7.66015625" style="0" customWidth="1"/>
    <col min="22" max="22" width="8.33203125" style="0" customWidth="1"/>
    <col min="23" max="23" width="0.4921875" style="0" customWidth="1"/>
  </cols>
  <sheetData>
    <row r="1" spans="1:23" s="20" customFormat="1" ht="17.25" customHeight="1">
      <c r="A1" s="404" t="s">
        <v>104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</row>
    <row r="2" spans="2:24" ht="15" customHeight="1">
      <c r="B2" s="426"/>
      <c r="C2" s="426"/>
      <c r="D2" s="426"/>
      <c r="E2" s="427"/>
      <c r="F2" s="427"/>
      <c r="G2" s="42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10"/>
    </row>
    <row r="3" spans="1:24" ht="9" customHeight="1">
      <c r="A3" s="423" t="s">
        <v>1</v>
      </c>
      <c r="B3" s="423"/>
      <c r="C3" s="423" t="s">
        <v>2</v>
      </c>
      <c r="D3" s="423" t="s">
        <v>4</v>
      </c>
      <c r="E3" s="423"/>
      <c r="F3" s="423"/>
      <c r="G3" s="423" t="s">
        <v>68</v>
      </c>
      <c r="H3" s="423"/>
      <c r="I3" s="423" t="s">
        <v>69</v>
      </c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10"/>
    </row>
    <row r="4" spans="1:24" ht="12.75" customHeight="1">
      <c r="A4" s="423"/>
      <c r="B4" s="423"/>
      <c r="C4" s="423"/>
      <c r="D4" s="423"/>
      <c r="E4" s="423"/>
      <c r="F4" s="423"/>
      <c r="G4" s="423"/>
      <c r="H4" s="423"/>
      <c r="I4" s="423" t="s">
        <v>70</v>
      </c>
      <c r="J4" s="423" t="s">
        <v>71</v>
      </c>
      <c r="K4" s="423"/>
      <c r="L4" s="423"/>
      <c r="M4" s="423"/>
      <c r="N4" s="423"/>
      <c r="O4" s="423"/>
      <c r="P4" s="423"/>
      <c r="Q4" s="423"/>
      <c r="R4" s="423" t="s">
        <v>72</v>
      </c>
      <c r="S4" s="423" t="s">
        <v>71</v>
      </c>
      <c r="T4" s="423"/>
      <c r="U4" s="423"/>
      <c r="V4" s="423"/>
      <c r="W4" s="423"/>
      <c r="X4" s="10"/>
    </row>
    <row r="5" spans="1:24" ht="2.25" customHeight="1">
      <c r="A5" s="423"/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 t="s">
        <v>73</v>
      </c>
      <c r="T5" s="423" t="s">
        <v>74</v>
      </c>
      <c r="U5" s="423"/>
      <c r="V5" s="423" t="s">
        <v>75</v>
      </c>
      <c r="W5" s="423"/>
      <c r="X5" s="10"/>
    </row>
    <row r="6" spans="1:24" ht="6" customHeight="1">
      <c r="A6" s="423"/>
      <c r="B6" s="423"/>
      <c r="C6" s="423"/>
      <c r="D6" s="423"/>
      <c r="E6" s="423"/>
      <c r="F6" s="423"/>
      <c r="G6" s="423"/>
      <c r="H6" s="423"/>
      <c r="I6" s="423"/>
      <c r="J6" s="423" t="s">
        <v>76</v>
      </c>
      <c r="K6" s="423" t="s">
        <v>71</v>
      </c>
      <c r="L6" s="423"/>
      <c r="M6" s="423" t="s">
        <v>77</v>
      </c>
      <c r="N6" s="423" t="s">
        <v>78</v>
      </c>
      <c r="O6" s="423" t="s">
        <v>79</v>
      </c>
      <c r="P6" s="423" t="s">
        <v>80</v>
      </c>
      <c r="Q6" s="423" t="s">
        <v>81</v>
      </c>
      <c r="R6" s="423"/>
      <c r="S6" s="423"/>
      <c r="T6" s="423"/>
      <c r="U6" s="423"/>
      <c r="V6" s="423"/>
      <c r="W6" s="423"/>
      <c r="X6" s="10"/>
    </row>
    <row r="7" spans="1:24" ht="2.25" customHeight="1">
      <c r="A7" s="423"/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 t="s">
        <v>82</v>
      </c>
      <c r="U7" s="423"/>
      <c r="V7" s="423"/>
      <c r="W7" s="423"/>
      <c r="X7" s="10"/>
    </row>
    <row r="8" spans="1:24" ht="44.25" customHeight="1">
      <c r="A8" s="423"/>
      <c r="B8" s="423"/>
      <c r="C8" s="423"/>
      <c r="D8" s="423"/>
      <c r="E8" s="423"/>
      <c r="F8" s="423"/>
      <c r="G8" s="423"/>
      <c r="H8" s="423"/>
      <c r="I8" s="423"/>
      <c r="J8" s="423"/>
      <c r="K8" s="11" t="s">
        <v>83</v>
      </c>
      <c r="L8" s="11" t="s">
        <v>84</v>
      </c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10"/>
    </row>
    <row r="9" spans="1:24" s="22" customFormat="1" ht="9" customHeight="1">
      <c r="A9" s="430">
        <v>1</v>
      </c>
      <c r="B9" s="430"/>
      <c r="C9" s="21">
        <v>2</v>
      </c>
      <c r="D9" s="430">
        <v>3</v>
      </c>
      <c r="E9" s="430"/>
      <c r="F9" s="430"/>
      <c r="G9" s="430">
        <v>4</v>
      </c>
      <c r="H9" s="430"/>
      <c r="I9" s="21">
        <v>5</v>
      </c>
      <c r="J9" s="21">
        <v>6</v>
      </c>
      <c r="K9" s="21">
        <v>7</v>
      </c>
      <c r="L9" s="21">
        <v>8</v>
      </c>
      <c r="M9" s="21">
        <v>9</v>
      </c>
      <c r="N9" s="21">
        <v>10</v>
      </c>
      <c r="O9" s="21">
        <v>11</v>
      </c>
      <c r="P9" s="21">
        <v>12</v>
      </c>
      <c r="Q9" s="21">
        <v>13</v>
      </c>
      <c r="R9" s="21">
        <v>14</v>
      </c>
      <c r="S9" s="21">
        <v>15</v>
      </c>
      <c r="T9" s="430">
        <v>16</v>
      </c>
      <c r="U9" s="430"/>
      <c r="V9" s="430">
        <v>17</v>
      </c>
      <c r="W9" s="430"/>
      <c r="X9" s="23"/>
    </row>
    <row r="10" spans="1:24" ht="9" customHeight="1">
      <c r="A10" s="431" t="s">
        <v>105</v>
      </c>
      <c r="B10" s="432"/>
      <c r="C10" s="432"/>
      <c r="D10" s="424" t="s">
        <v>85</v>
      </c>
      <c r="E10" s="424"/>
      <c r="F10" s="16" t="s">
        <v>86</v>
      </c>
      <c r="G10" s="445">
        <v>2780498.1</v>
      </c>
      <c r="H10" s="445"/>
      <c r="I10" s="24">
        <v>413663.1</v>
      </c>
      <c r="J10" s="24">
        <v>209663.1</v>
      </c>
      <c r="K10" s="24">
        <v>21204.37</v>
      </c>
      <c r="L10" s="24">
        <v>188458.73</v>
      </c>
      <c r="M10" s="24">
        <v>204000</v>
      </c>
      <c r="N10" s="24"/>
      <c r="O10" s="24"/>
      <c r="P10" s="24"/>
      <c r="Q10" s="24"/>
      <c r="R10" s="24">
        <v>2366835</v>
      </c>
      <c r="S10" s="24">
        <v>2366835</v>
      </c>
      <c r="T10" s="445">
        <v>1505000</v>
      </c>
      <c r="U10" s="445"/>
      <c r="V10" s="445"/>
      <c r="W10" s="445"/>
      <c r="X10" s="10"/>
    </row>
    <row r="11" spans="1:24" ht="9" customHeight="1">
      <c r="A11" s="432"/>
      <c r="B11" s="432"/>
      <c r="C11" s="432"/>
      <c r="D11" s="424"/>
      <c r="E11" s="424"/>
      <c r="F11" s="16" t="s">
        <v>87</v>
      </c>
      <c r="G11" s="445">
        <v>-62161</v>
      </c>
      <c r="H11" s="445"/>
      <c r="I11" s="24"/>
      <c r="J11" s="24"/>
      <c r="K11" s="24"/>
      <c r="L11" s="24"/>
      <c r="M11" s="24"/>
      <c r="N11" s="24"/>
      <c r="O11" s="24"/>
      <c r="P11" s="24"/>
      <c r="Q11" s="24"/>
      <c r="R11" s="24">
        <v>-62161</v>
      </c>
      <c r="S11" s="24">
        <v>-62161</v>
      </c>
      <c r="T11" s="445">
        <v>-42161</v>
      </c>
      <c r="U11" s="445"/>
      <c r="V11" s="445"/>
      <c r="W11" s="445"/>
      <c r="X11" s="10"/>
    </row>
    <row r="12" spans="1:24" ht="9" customHeight="1">
      <c r="A12" s="432"/>
      <c r="B12" s="432"/>
      <c r="C12" s="432"/>
      <c r="D12" s="424"/>
      <c r="E12" s="424"/>
      <c r="F12" s="16" t="s">
        <v>88</v>
      </c>
      <c r="G12" s="445"/>
      <c r="H12" s="445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445"/>
      <c r="U12" s="445"/>
      <c r="V12" s="445"/>
      <c r="W12" s="445"/>
      <c r="X12" s="10"/>
    </row>
    <row r="13" spans="1:24" ht="9" customHeight="1">
      <c r="A13" s="432"/>
      <c r="B13" s="432"/>
      <c r="C13" s="432"/>
      <c r="D13" s="424"/>
      <c r="E13" s="424"/>
      <c r="F13" s="16" t="s">
        <v>89</v>
      </c>
      <c r="G13" s="445">
        <v>2718337.1</v>
      </c>
      <c r="H13" s="445"/>
      <c r="I13" s="24">
        <v>413663.1</v>
      </c>
      <c r="J13" s="24">
        <v>209663.1</v>
      </c>
      <c r="K13" s="24">
        <v>21204.37</v>
      </c>
      <c r="L13" s="24">
        <v>188458.73</v>
      </c>
      <c r="M13" s="24">
        <v>204000</v>
      </c>
      <c r="N13" s="24"/>
      <c r="O13" s="24"/>
      <c r="P13" s="24"/>
      <c r="Q13" s="24"/>
      <c r="R13" s="24">
        <v>2304674</v>
      </c>
      <c r="S13" s="24">
        <v>2304674</v>
      </c>
      <c r="T13" s="445">
        <v>1462839</v>
      </c>
      <c r="U13" s="445"/>
      <c r="V13" s="445"/>
      <c r="W13" s="445"/>
      <c r="X13" s="10"/>
    </row>
    <row r="14" spans="1:24" ht="9" customHeight="1">
      <c r="A14" s="428"/>
      <c r="B14" s="428"/>
      <c r="C14" s="429" t="s">
        <v>106</v>
      </c>
      <c r="D14" s="435" t="s">
        <v>90</v>
      </c>
      <c r="E14" s="435"/>
      <c r="F14" s="18" t="s">
        <v>86</v>
      </c>
      <c r="G14" s="437">
        <v>2248897</v>
      </c>
      <c r="H14" s="437"/>
      <c r="I14" s="25">
        <v>208220</v>
      </c>
      <c r="J14" s="25">
        <v>4220</v>
      </c>
      <c r="K14" s="25">
        <v>0</v>
      </c>
      <c r="L14" s="25">
        <v>4220</v>
      </c>
      <c r="M14" s="25">
        <v>204000</v>
      </c>
      <c r="N14" s="25"/>
      <c r="O14" s="25"/>
      <c r="P14" s="25"/>
      <c r="Q14" s="25"/>
      <c r="R14" s="25">
        <v>2040677</v>
      </c>
      <c r="S14" s="25">
        <v>2040677</v>
      </c>
      <c r="T14" s="437">
        <v>1505000</v>
      </c>
      <c r="U14" s="437"/>
      <c r="V14" s="437"/>
      <c r="W14" s="437"/>
      <c r="X14" s="10"/>
    </row>
    <row r="15" spans="1:24" ht="9" customHeight="1">
      <c r="A15" s="428"/>
      <c r="B15" s="428"/>
      <c r="C15" s="428"/>
      <c r="D15" s="435"/>
      <c r="E15" s="435"/>
      <c r="F15" s="16" t="s">
        <v>87</v>
      </c>
      <c r="G15" s="445">
        <v>-62161</v>
      </c>
      <c r="H15" s="445"/>
      <c r="I15" s="24"/>
      <c r="J15" s="24"/>
      <c r="K15" s="24"/>
      <c r="L15" s="24"/>
      <c r="M15" s="24"/>
      <c r="N15" s="24"/>
      <c r="O15" s="24"/>
      <c r="P15" s="24"/>
      <c r="Q15" s="24"/>
      <c r="R15" s="24">
        <v>-62161</v>
      </c>
      <c r="S15" s="24">
        <v>-62161</v>
      </c>
      <c r="T15" s="445">
        <v>-42161</v>
      </c>
      <c r="U15" s="445"/>
      <c r="V15" s="445"/>
      <c r="W15" s="445"/>
      <c r="X15" s="10"/>
    </row>
    <row r="16" spans="1:24" ht="9" customHeight="1">
      <c r="A16" s="428"/>
      <c r="B16" s="428"/>
      <c r="C16" s="428"/>
      <c r="D16" s="435"/>
      <c r="E16" s="435"/>
      <c r="F16" s="16" t="s">
        <v>88</v>
      </c>
      <c r="G16" s="445"/>
      <c r="H16" s="445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445"/>
      <c r="U16" s="445"/>
      <c r="V16" s="445"/>
      <c r="W16" s="445"/>
      <c r="X16" s="10"/>
    </row>
    <row r="17" spans="1:24" ht="9" customHeight="1">
      <c r="A17" s="428"/>
      <c r="B17" s="428"/>
      <c r="C17" s="428"/>
      <c r="D17" s="435"/>
      <c r="E17" s="435"/>
      <c r="F17" s="16" t="s">
        <v>89</v>
      </c>
      <c r="G17" s="445">
        <v>2186736</v>
      </c>
      <c r="H17" s="445"/>
      <c r="I17" s="24">
        <v>208220</v>
      </c>
      <c r="J17" s="24">
        <v>4220</v>
      </c>
      <c r="K17" s="24">
        <v>0</v>
      </c>
      <c r="L17" s="24">
        <v>4220</v>
      </c>
      <c r="M17" s="24">
        <v>204000</v>
      </c>
      <c r="N17" s="24"/>
      <c r="O17" s="24"/>
      <c r="P17" s="24"/>
      <c r="Q17" s="24"/>
      <c r="R17" s="24">
        <v>1978516</v>
      </c>
      <c r="S17" s="24">
        <v>1978516</v>
      </c>
      <c r="T17" s="445">
        <v>1462839</v>
      </c>
      <c r="U17" s="445"/>
      <c r="V17" s="445"/>
      <c r="W17" s="445"/>
      <c r="X17" s="10"/>
    </row>
    <row r="18" spans="1:24" ht="9" customHeight="1">
      <c r="A18" s="423">
        <v>600</v>
      </c>
      <c r="B18" s="423"/>
      <c r="C18" s="423"/>
      <c r="D18" s="424" t="s">
        <v>91</v>
      </c>
      <c r="E18" s="424"/>
      <c r="F18" s="16" t="s">
        <v>86</v>
      </c>
      <c r="G18" s="445">
        <v>387948.41</v>
      </c>
      <c r="H18" s="445"/>
      <c r="I18" s="24">
        <v>185791.41</v>
      </c>
      <c r="J18" s="24">
        <v>55791.41</v>
      </c>
      <c r="K18" s="24">
        <v>2015</v>
      </c>
      <c r="L18" s="24">
        <v>53776.41</v>
      </c>
      <c r="M18" s="24">
        <v>130000</v>
      </c>
      <c r="N18" s="24"/>
      <c r="O18" s="24"/>
      <c r="P18" s="24"/>
      <c r="Q18" s="24"/>
      <c r="R18" s="24">
        <v>202157</v>
      </c>
      <c r="S18" s="24">
        <v>202157</v>
      </c>
      <c r="T18" s="445"/>
      <c r="U18" s="445"/>
      <c r="V18" s="445"/>
      <c r="W18" s="445"/>
      <c r="X18" s="10"/>
    </row>
    <row r="19" spans="1:24" ht="9" customHeight="1">
      <c r="A19" s="423"/>
      <c r="B19" s="423"/>
      <c r="C19" s="423"/>
      <c r="D19" s="424"/>
      <c r="E19" s="424"/>
      <c r="F19" s="16" t="s">
        <v>87</v>
      </c>
      <c r="G19" s="445">
        <v>-100000</v>
      </c>
      <c r="H19" s="445"/>
      <c r="I19" s="24"/>
      <c r="J19" s="24"/>
      <c r="K19" s="24"/>
      <c r="L19" s="24"/>
      <c r="M19" s="24"/>
      <c r="N19" s="24"/>
      <c r="O19" s="24"/>
      <c r="P19" s="24"/>
      <c r="Q19" s="24"/>
      <c r="R19" s="24">
        <v>-100000</v>
      </c>
      <c r="S19" s="24">
        <v>-100000</v>
      </c>
      <c r="T19" s="445"/>
      <c r="U19" s="445"/>
      <c r="V19" s="445"/>
      <c r="W19" s="445"/>
      <c r="X19" s="10"/>
    </row>
    <row r="20" spans="1:24" ht="9" customHeight="1">
      <c r="A20" s="423"/>
      <c r="B20" s="423"/>
      <c r="C20" s="423"/>
      <c r="D20" s="424"/>
      <c r="E20" s="424"/>
      <c r="F20" s="16" t="s">
        <v>88</v>
      </c>
      <c r="G20" s="445">
        <v>120000</v>
      </c>
      <c r="H20" s="445"/>
      <c r="I20" s="24"/>
      <c r="J20" s="24"/>
      <c r="K20" s="24"/>
      <c r="L20" s="24"/>
      <c r="M20" s="24"/>
      <c r="N20" s="24"/>
      <c r="O20" s="24"/>
      <c r="P20" s="24"/>
      <c r="Q20" s="24"/>
      <c r="R20" s="24">
        <v>120000</v>
      </c>
      <c r="S20" s="24">
        <v>120000</v>
      </c>
      <c r="T20" s="445"/>
      <c r="U20" s="445"/>
      <c r="V20" s="445"/>
      <c r="W20" s="445"/>
      <c r="X20" s="10"/>
    </row>
    <row r="21" spans="1:24" ht="9" customHeight="1">
      <c r="A21" s="423"/>
      <c r="B21" s="423"/>
      <c r="C21" s="423"/>
      <c r="D21" s="424"/>
      <c r="E21" s="424"/>
      <c r="F21" s="16" t="s">
        <v>89</v>
      </c>
      <c r="G21" s="445">
        <v>407948.41</v>
      </c>
      <c r="H21" s="445"/>
      <c r="I21" s="24">
        <v>185791.41</v>
      </c>
      <c r="J21" s="24">
        <v>55791.41</v>
      </c>
      <c r="K21" s="24">
        <v>2015</v>
      </c>
      <c r="L21" s="24">
        <v>53776.41</v>
      </c>
      <c r="M21" s="24">
        <v>130000</v>
      </c>
      <c r="N21" s="24"/>
      <c r="O21" s="24"/>
      <c r="P21" s="24"/>
      <c r="Q21" s="24"/>
      <c r="R21" s="24">
        <v>222157</v>
      </c>
      <c r="S21" s="24">
        <v>222157</v>
      </c>
      <c r="T21" s="445"/>
      <c r="U21" s="445"/>
      <c r="V21" s="445"/>
      <c r="W21" s="445"/>
      <c r="X21" s="10"/>
    </row>
    <row r="22" spans="1:24" ht="9" customHeight="1">
      <c r="A22" s="433"/>
      <c r="B22" s="433"/>
      <c r="C22" s="433">
        <v>60014</v>
      </c>
      <c r="D22" s="435" t="s">
        <v>92</v>
      </c>
      <c r="E22" s="435"/>
      <c r="F22" s="18" t="s">
        <v>86</v>
      </c>
      <c r="G22" s="437">
        <v>231758.41</v>
      </c>
      <c r="H22" s="437"/>
      <c r="I22" s="25">
        <v>46758.41</v>
      </c>
      <c r="J22" s="25">
        <v>46758.41</v>
      </c>
      <c r="K22" s="25">
        <v>2015</v>
      </c>
      <c r="L22" s="25">
        <v>44743.41</v>
      </c>
      <c r="M22" s="25"/>
      <c r="N22" s="25"/>
      <c r="O22" s="25"/>
      <c r="P22" s="25"/>
      <c r="Q22" s="25"/>
      <c r="R22" s="25">
        <v>185000</v>
      </c>
      <c r="S22" s="25">
        <v>185000</v>
      </c>
      <c r="T22" s="437"/>
      <c r="U22" s="437"/>
      <c r="V22" s="437"/>
      <c r="W22" s="437"/>
      <c r="X22" s="10"/>
    </row>
    <row r="23" spans="1:24" ht="9" customHeight="1">
      <c r="A23" s="433"/>
      <c r="B23" s="433"/>
      <c r="C23" s="433"/>
      <c r="D23" s="435"/>
      <c r="E23" s="435"/>
      <c r="F23" s="16" t="s">
        <v>87</v>
      </c>
      <c r="G23" s="445">
        <v>-100000</v>
      </c>
      <c r="H23" s="445"/>
      <c r="I23" s="24"/>
      <c r="J23" s="24"/>
      <c r="K23" s="24"/>
      <c r="L23" s="24"/>
      <c r="M23" s="24"/>
      <c r="N23" s="24"/>
      <c r="O23" s="24"/>
      <c r="P23" s="24"/>
      <c r="Q23" s="24"/>
      <c r="R23" s="24">
        <v>-100000</v>
      </c>
      <c r="S23" s="24">
        <v>-100000</v>
      </c>
      <c r="T23" s="445"/>
      <c r="U23" s="445"/>
      <c r="V23" s="445"/>
      <c r="W23" s="445"/>
      <c r="X23" s="10"/>
    </row>
    <row r="24" spans="1:24" ht="9" customHeight="1">
      <c r="A24" s="433"/>
      <c r="B24" s="433"/>
      <c r="C24" s="433"/>
      <c r="D24" s="435"/>
      <c r="E24" s="435"/>
      <c r="F24" s="16" t="s">
        <v>88</v>
      </c>
      <c r="G24" s="445">
        <v>120000</v>
      </c>
      <c r="H24" s="445"/>
      <c r="I24" s="24"/>
      <c r="J24" s="24"/>
      <c r="K24" s="24"/>
      <c r="L24" s="24"/>
      <c r="M24" s="24"/>
      <c r="N24" s="24"/>
      <c r="O24" s="24"/>
      <c r="P24" s="24"/>
      <c r="Q24" s="24"/>
      <c r="R24" s="24">
        <v>120000</v>
      </c>
      <c r="S24" s="24">
        <v>120000</v>
      </c>
      <c r="T24" s="445"/>
      <c r="U24" s="445"/>
      <c r="V24" s="445"/>
      <c r="W24" s="445"/>
      <c r="X24" s="10"/>
    </row>
    <row r="25" spans="1:24" ht="9" customHeight="1">
      <c r="A25" s="433"/>
      <c r="B25" s="433"/>
      <c r="C25" s="433"/>
      <c r="D25" s="435"/>
      <c r="E25" s="435"/>
      <c r="F25" s="16" t="s">
        <v>89</v>
      </c>
      <c r="G25" s="445">
        <v>251758.41</v>
      </c>
      <c r="H25" s="445"/>
      <c r="I25" s="24">
        <v>46758.41</v>
      </c>
      <c r="J25" s="24">
        <v>46758.41</v>
      </c>
      <c r="K25" s="24">
        <v>2015</v>
      </c>
      <c r="L25" s="24">
        <v>44743.41</v>
      </c>
      <c r="M25" s="24"/>
      <c r="N25" s="24"/>
      <c r="O25" s="24"/>
      <c r="P25" s="24"/>
      <c r="Q25" s="24"/>
      <c r="R25" s="24">
        <v>205000</v>
      </c>
      <c r="S25" s="24">
        <v>205000</v>
      </c>
      <c r="T25" s="445"/>
      <c r="U25" s="445"/>
      <c r="V25" s="445"/>
      <c r="W25" s="445"/>
      <c r="X25" s="10"/>
    </row>
    <row r="26" spans="1:24" ht="9" customHeight="1">
      <c r="A26" s="423">
        <v>750</v>
      </c>
      <c r="B26" s="423"/>
      <c r="C26" s="423"/>
      <c r="D26" s="424" t="s">
        <v>93</v>
      </c>
      <c r="E26" s="424"/>
      <c r="F26" s="16" t="s">
        <v>86</v>
      </c>
      <c r="G26" s="445">
        <v>2017174.63</v>
      </c>
      <c r="H26" s="445"/>
      <c r="I26" s="24">
        <v>2017174.63</v>
      </c>
      <c r="J26" s="24">
        <v>1944469.63</v>
      </c>
      <c r="K26" s="24">
        <v>1491619</v>
      </c>
      <c r="L26" s="24">
        <v>452850.63</v>
      </c>
      <c r="M26" s="24"/>
      <c r="N26" s="24">
        <v>72705</v>
      </c>
      <c r="O26" s="24"/>
      <c r="P26" s="24"/>
      <c r="Q26" s="24"/>
      <c r="R26" s="24"/>
      <c r="S26" s="24"/>
      <c r="T26" s="445"/>
      <c r="U26" s="445"/>
      <c r="V26" s="445"/>
      <c r="W26" s="445"/>
      <c r="X26" s="10"/>
    </row>
    <row r="27" spans="1:24" ht="9" customHeight="1">
      <c r="A27" s="423"/>
      <c r="B27" s="423"/>
      <c r="C27" s="423"/>
      <c r="D27" s="424"/>
      <c r="E27" s="424"/>
      <c r="F27" s="16" t="s">
        <v>87</v>
      </c>
      <c r="G27" s="445">
        <v>-20000</v>
      </c>
      <c r="H27" s="445"/>
      <c r="I27" s="24">
        <v>-20000</v>
      </c>
      <c r="J27" s="24">
        <v>-20000</v>
      </c>
      <c r="K27" s="24"/>
      <c r="L27" s="24">
        <v>-20000</v>
      </c>
      <c r="M27" s="24"/>
      <c r="N27" s="24"/>
      <c r="O27" s="24"/>
      <c r="P27" s="24"/>
      <c r="Q27" s="24"/>
      <c r="R27" s="24"/>
      <c r="S27" s="24"/>
      <c r="T27" s="445"/>
      <c r="U27" s="445"/>
      <c r="V27" s="445"/>
      <c r="W27" s="445"/>
      <c r="X27" s="10"/>
    </row>
    <row r="28" spans="1:24" ht="9" customHeight="1">
      <c r="A28" s="423"/>
      <c r="B28" s="423"/>
      <c r="C28" s="423"/>
      <c r="D28" s="424"/>
      <c r="E28" s="424"/>
      <c r="F28" s="16" t="s">
        <v>88</v>
      </c>
      <c r="G28" s="445">
        <v>20000</v>
      </c>
      <c r="H28" s="445"/>
      <c r="I28" s="24"/>
      <c r="J28" s="24"/>
      <c r="K28" s="24"/>
      <c r="L28" s="24"/>
      <c r="M28" s="24"/>
      <c r="N28" s="24"/>
      <c r="O28" s="24"/>
      <c r="P28" s="24"/>
      <c r="Q28" s="24"/>
      <c r="R28" s="24">
        <v>20000</v>
      </c>
      <c r="S28" s="24">
        <v>20000</v>
      </c>
      <c r="T28" s="445"/>
      <c r="U28" s="445"/>
      <c r="V28" s="445"/>
      <c r="W28" s="445"/>
      <c r="X28" s="10"/>
    </row>
    <row r="29" spans="1:24" ht="9" customHeight="1">
      <c r="A29" s="423"/>
      <c r="B29" s="423"/>
      <c r="C29" s="423"/>
      <c r="D29" s="424"/>
      <c r="E29" s="424"/>
      <c r="F29" s="16" t="s">
        <v>89</v>
      </c>
      <c r="G29" s="445">
        <v>2017174.63</v>
      </c>
      <c r="H29" s="445"/>
      <c r="I29" s="24">
        <v>1997174.63</v>
      </c>
      <c r="J29" s="24">
        <v>1924469.63</v>
      </c>
      <c r="K29" s="24">
        <v>1491619</v>
      </c>
      <c r="L29" s="24">
        <v>432850.63</v>
      </c>
      <c r="M29" s="24"/>
      <c r="N29" s="24">
        <v>72705</v>
      </c>
      <c r="O29" s="24"/>
      <c r="P29" s="24"/>
      <c r="Q29" s="24"/>
      <c r="R29" s="24">
        <v>20000</v>
      </c>
      <c r="S29" s="24">
        <v>20000</v>
      </c>
      <c r="T29" s="445"/>
      <c r="U29" s="445"/>
      <c r="V29" s="445"/>
      <c r="W29" s="445"/>
      <c r="X29" s="10"/>
    </row>
    <row r="30" spans="1:24" ht="9" customHeight="1">
      <c r="A30" s="433"/>
      <c r="B30" s="433"/>
      <c r="C30" s="433">
        <v>75023</v>
      </c>
      <c r="D30" s="435" t="s">
        <v>94</v>
      </c>
      <c r="E30" s="435"/>
      <c r="F30" s="18" t="s">
        <v>86</v>
      </c>
      <c r="G30" s="437">
        <v>1804849.63</v>
      </c>
      <c r="H30" s="437"/>
      <c r="I30" s="25">
        <v>1804849.63</v>
      </c>
      <c r="J30" s="25">
        <v>1803349.63</v>
      </c>
      <c r="K30" s="25">
        <v>1422000</v>
      </c>
      <c r="L30" s="25">
        <v>381349.63</v>
      </c>
      <c r="M30" s="25"/>
      <c r="N30" s="25">
        <v>1500</v>
      </c>
      <c r="O30" s="25"/>
      <c r="P30" s="25"/>
      <c r="Q30" s="25"/>
      <c r="R30" s="25"/>
      <c r="S30" s="25"/>
      <c r="T30" s="437"/>
      <c r="U30" s="437"/>
      <c r="V30" s="437"/>
      <c r="W30" s="437"/>
      <c r="X30" s="10"/>
    </row>
    <row r="31" spans="1:24" ht="9" customHeight="1">
      <c r="A31" s="433"/>
      <c r="B31" s="433"/>
      <c r="C31" s="433"/>
      <c r="D31" s="435"/>
      <c r="E31" s="435"/>
      <c r="F31" s="16" t="s">
        <v>87</v>
      </c>
      <c r="G31" s="445">
        <v>-20000</v>
      </c>
      <c r="H31" s="445"/>
      <c r="I31" s="24">
        <v>-20000</v>
      </c>
      <c r="J31" s="24">
        <v>-20000</v>
      </c>
      <c r="K31" s="24"/>
      <c r="L31" s="24">
        <v>-20000</v>
      </c>
      <c r="M31" s="24"/>
      <c r="N31" s="24"/>
      <c r="O31" s="24"/>
      <c r="P31" s="24"/>
      <c r="Q31" s="24"/>
      <c r="R31" s="24"/>
      <c r="S31" s="24"/>
      <c r="T31" s="445"/>
      <c r="U31" s="445"/>
      <c r="V31" s="445"/>
      <c r="W31" s="445"/>
      <c r="X31" s="10"/>
    </row>
    <row r="32" spans="1:24" ht="9" customHeight="1">
      <c r="A32" s="433"/>
      <c r="B32" s="433"/>
      <c r="C32" s="433"/>
      <c r="D32" s="435"/>
      <c r="E32" s="435"/>
      <c r="F32" s="16" t="s">
        <v>88</v>
      </c>
      <c r="G32" s="445">
        <v>20000</v>
      </c>
      <c r="H32" s="445"/>
      <c r="I32" s="24"/>
      <c r="J32" s="24"/>
      <c r="K32" s="24"/>
      <c r="L32" s="24"/>
      <c r="M32" s="24"/>
      <c r="N32" s="24"/>
      <c r="O32" s="24"/>
      <c r="P32" s="24"/>
      <c r="Q32" s="24"/>
      <c r="R32" s="24">
        <v>20000</v>
      </c>
      <c r="S32" s="24">
        <v>20000</v>
      </c>
      <c r="T32" s="445"/>
      <c r="U32" s="445"/>
      <c r="V32" s="445"/>
      <c r="W32" s="445"/>
      <c r="X32" s="10"/>
    </row>
    <row r="33" spans="1:24" ht="9" customHeight="1">
      <c r="A33" s="433"/>
      <c r="B33" s="433"/>
      <c r="C33" s="433"/>
      <c r="D33" s="435"/>
      <c r="E33" s="435"/>
      <c r="F33" s="16" t="s">
        <v>89</v>
      </c>
      <c r="G33" s="445">
        <v>1804849.63</v>
      </c>
      <c r="H33" s="445"/>
      <c r="I33" s="24">
        <v>1784849.63</v>
      </c>
      <c r="J33" s="24">
        <v>1783349.63</v>
      </c>
      <c r="K33" s="24">
        <v>1422000</v>
      </c>
      <c r="L33" s="24">
        <v>361349.63</v>
      </c>
      <c r="M33" s="24"/>
      <c r="N33" s="24">
        <v>1500</v>
      </c>
      <c r="O33" s="24"/>
      <c r="P33" s="24"/>
      <c r="Q33" s="24"/>
      <c r="R33" s="24">
        <v>20000</v>
      </c>
      <c r="S33" s="24">
        <v>20000</v>
      </c>
      <c r="T33" s="445"/>
      <c r="U33" s="445"/>
      <c r="V33" s="445"/>
      <c r="W33" s="445"/>
      <c r="X33" s="10"/>
    </row>
    <row r="34" spans="1:24" ht="9" customHeight="1">
      <c r="A34" s="423">
        <v>754</v>
      </c>
      <c r="B34" s="423"/>
      <c r="C34" s="423"/>
      <c r="D34" s="424" t="s">
        <v>95</v>
      </c>
      <c r="E34" s="424"/>
      <c r="F34" s="16" t="s">
        <v>86</v>
      </c>
      <c r="G34" s="445">
        <v>251436.18</v>
      </c>
      <c r="H34" s="445"/>
      <c r="I34" s="24">
        <v>189706</v>
      </c>
      <c r="J34" s="24">
        <v>164706</v>
      </c>
      <c r="K34" s="24">
        <v>34121</v>
      </c>
      <c r="L34" s="24">
        <v>130585</v>
      </c>
      <c r="M34" s="24"/>
      <c r="N34" s="24">
        <v>25000</v>
      </c>
      <c r="O34" s="24"/>
      <c r="P34" s="24"/>
      <c r="Q34" s="24"/>
      <c r="R34" s="24">
        <v>61730.18</v>
      </c>
      <c r="S34" s="24">
        <v>61730.18</v>
      </c>
      <c r="T34" s="445"/>
      <c r="U34" s="445"/>
      <c r="V34" s="445"/>
      <c r="W34" s="445"/>
      <c r="X34" s="10"/>
    </row>
    <row r="35" spans="1:24" ht="9" customHeight="1">
      <c r="A35" s="423"/>
      <c r="B35" s="423"/>
      <c r="C35" s="423"/>
      <c r="D35" s="424"/>
      <c r="E35" s="424"/>
      <c r="F35" s="16" t="s">
        <v>87</v>
      </c>
      <c r="G35" s="445">
        <v>-2000</v>
      </c>
      <c r="H35" s="445"/>
      <c r="I35" s="24">
        <v>-2000</v>
      </c>
      <c r="J35" s="24">
        <v>-2000</v>
      </c>
      <c r="K35" s="24"/>
      <c r="L35" s="24">
        <v>-2000</v>
      </c>
      <c r="M35" s="24"/>
      <c r="N35" s="24"/>
      <c r="O35" s="24"/>
      <c r="P35" s="24"/>
      <c r="Q35" s="24"/>
      <c r="R35" s="24"/>
      <c r="S35" s="24"/>
      <c r="T35" s="445"/>
      <c r="U35" s="445"/>
      <c r="V35" s="445"/>
      <c r="W35" s="445"/>
      <c r="X35" s="10"/>
    </row>
    <row r="36" spans="1:24" ht="9" customHeight="1">
      <c r="A36" s="423"/>
      <c r="B36" s="423"/>
      <c r="C36" s="423"/>
      <c r="D36" s="424"/>
      <c r="E36" s="424"/>
      <c r="F36" s="16" t="s">
        <v>88</v>
      </c>
      <c r="G36" s="445">
        <v>4800</v>
      </c>
      <c r="H36" s="445"/>
      <c r="I36" s="24"/>
      <c r="J36" s="24"/>
      <c r="K36" s="24"/>
      <c r="L36" s="24"/>
      <c r="M36" s="24"/>
      <c r="N36" s="24"/>
      <c r="O36" s="24"/>
      <c r="P36" s="24"/>
      <c r="Q36" s="24"/>
      <c r="R36" s="24">
        <v>4800</v>
      </c>
      <c r="S36" s="24">
        <v>4800</v>
      </c>
      <c r="T36" s="445"/>
      <c r="U36" s="445"/>
      <c r="V36" s="445"/>
      <c r="W36" s="445"/>
      <c r="X36" s="10"/>
    </row>
    <row r="37" spans="1:24" ht="9" customHeight="1">
      <c r="A37" s="423"/>
      <c r="B37" s="423"/>
      <c r="C37" s="423"/>
      <c r="D37" s="424"/>
      <c r="E37" s="424"/>
      <c r="F37" s="16" t="s">
        <v>89</v>
      </c>
      <c r="G37" s="445">
        <v>254236.18</v>
      </c>
      <c r="H37" s="445"/>
      <c r="I37" s="24">
        <v>187706</v>
      </c>
      <c r="J37" s="24">
        <v>162706</v>
      </c>
      <c r="K37" s="24">
        <v>34121</v>
      </c>
      <c r="L37" s="24">
        <v>128585</v>
      </c>
      <c r="M37" s="24"/>
      <c r="N37" s="24">
        <v>25000</v>
      </c>
      <c r="O37" s="24"/>
      <c r="P37" s="24"/>
      <c r="Q37" s="24"/>
      <c r="R37" s="24">
        <v>66530.18</v>
      </c>
      <c r="S37" s="24">
        <v>66530.18</v>
      </c>
      <c r="T37" s="445"/>
      <c r="U37" s="445"/>
      <c r="V37" s="445"/>
      <c r="W37" s="445"/>
      <c r="X37" s="10"/>
    </row>
    <row r="38" spans="1:24" ht="9" customHeight="1">
      <c r="A38" s="433"/>
      <c r="B38" s="433"/>
      <c r="C38" s="433">
        <v>75412</v>
      </c>
      <c r="D38" s="435" t="s">
        <v>96</v>
      </c>
      <c r="E38" s="435"/>
      <c r="F38" s="18" t="s">
        <v>86</v>
      </c>
      <c r="G38" s="437">
        <v>220378.59</v>
      </c>
      <c r="H38" s="437"/>
      <c r="I38" s="25">
        <v>179406</v>
      </c>
      <c r="J38" s="25">
        <v>154406</v>
      </c>
      <c r="K38" s="25">
        <v>34121</v>
      </c>
      <c r="L38" s="25">
        <v>120285</v>
      </c>
      <c r="M38" s="25"/>
      <c r="N38" s="25">
        <v>25000</v>
      </c>
      <c r="O38" s="25"/>
      <c r="P38" s="25"/>
      <c r="Q38" s="25"/>
      <c r="R38" s="25">
        <v>40972.59</v>
      </c>
      <c r="S38" s="25">
        <v>40972.59</v>
      </c>
      <c r="T38" s="437"/>
      <c r="U38" s="437"/>
      <c r="V38" s="437"/>
      <c r="W38" s="437"/>
      <c r="X38" s="10"/>
    </row>
    <row r="39" spans="1:24" ht="9" customHeight="1">
      <c r="A39" s="433"/>
      <c r="B39" s="433"/>
      <c r="C39" s="433"/>
      <c r="D39" s="435"/>
      <c r="E39" s="435"/>
      <c r="F39" s="16" t="s">
        <v>87</v>
      </c>
      <c r="G39" s="445">
        <v>-2000</v>
      </c>
      <c r="H39" s="445"/>
      <c r="I39" s="24">
        <v>-2000</v>
      </c>
      <c r="J39" s="24">
        <v>-2000</v>
      </c>
      <c r="K39" s="24"/>
      <c r="L39" s="24">
        <v>-2000</v>
      </c>
      <c r="M39" s="24"/>
      <c r="N39" s="24"/>
      <c r="O39" s="24"/>
      <c r="P39" s="24"/>
      <c r="Q39" s="24"/>
      <c r="R39" s="24"/>
      <c r="S39" s="24"/>
      <c r="T39" s="445"/>
      <c r="U39" s="445"/>
      <c r="V39" s="445"/>
      <c r="W39" s="445"/>
      <c r="X39" s="10"/>
    </row>
    <row r="40" spans="1:24" ht="9" customHeight="1">
      <c r="A40" s="433"/>
      <c r="B40" s="433"/>
      <c r="C40" s="433"/>
      <c r="D40" s="435"/>
      <c r="E40" s="435"/>
      <c r="F40" s="16" t="s">
        <v>88</v>
      </c>
      <c r="G40" s="445">
        <v>4800</v>
      </c>
      <c r="H40" s="445"/>
      <c r="I40" s="24"/>
      <c r="J40" s="24"/>
      <c r="K40" s="24"/>
      <c r="L40" s="24"/>
      <c r="M40" s="24"/>
      <c r="N40" s="24"/>
      <c r="O40" s="24"/>
      <c r="P40" s="24"/>
      <c r="Q40" s="24"/>
      <c r="R40" s="24">
        <v>4800</v>
      </c>
      <c r="S40" s="24">
        <v>4800</v>
      </c>
      <c r="T40" s="445"/>
      <c r="U40" s="445"/>
      <c r="V40" s="445"/>
      <c r="W40" s="445"/>
      <c r="X40" s="10"/>
    </row>
    <row r="41" spans="1:24" ht="9" customHeight="1">
      <c r="A41" s="433"/>
      <c r="B41" s="433"/>
      <c r="C41" s="433"/>
      <c r="D41" s="435"/>
      <c r="E41" s="435"/>
      <c r="F41" s="16" t="s">
        <v>89</v>
      </c>
      <c r="G41" s="445">
        <v>223178.59</v>
      </c>
      <c r="H41" s="445"/>
      <c r="I41" s="24">
        <v>177406</v>
      </c>
      <c r="J41" s="24">
        <v>152406</v>
      </c>
      <c r="K41" s="24">
        <v>34121</v>
      </c>
      <c r="L41" s="24">
        <v>118285</v>
      </c>
      <c r="M41" s="24"/>
      <c r="N41" s="24">
        <v>25000</v>
      </c>
      <c r="O41" s="24"/>
      <c r="P41" s="24"/>
      <c r="Q41" s="24"/>
      <c r="R41" s="24">
        <v>45772.59</v>
      </c>
      <c r="S41" s="24">
        <v>45772.59</v>
      </c>
      <c r="T41" s="445"/>
      <c r="U41" s="445"/>
      <c r="V41" s="445"/>
      <c r="W41" s="445"/>
      <c r="X41" s="10"/>
    </row>
    <row r="42" spans="1:24" ht="9" customHeight="1">
      <c r="A42" s="423">
        <v>801</v>
      </c>
      <c r="B42" s="423"/>
      <c r="C42" s="423"/>
      <c r="D42" s="424" t="s">
        <v>30</v>
      </c>
      <c r="E42" s="424"/>
      <c r="F42" s="16" t="s">
        <v>86</v>
      </c>
      <c r="G42" s="445">
        <v>5336169.5</v>
      </c>
      <c r="H42" s="445"/>
      <c r="I42" s="24">
        <v>5291169.5</v>
      </c>
      <c r="J42" s="24">
        <v>4559944</v>
      </c>
      <c r="K42" s="24">
        <v>3737073</v>
      </c>
      <c r="L42" s="24">
        <v>822871</v>
      </c>
      <c r="M42" s="24">
        <v>455991.8</v>
      </c>
      <c r="N42" s="24">
        <v>214811</v>
      </c>
      <c r="O42" s="24">
        <v>60422.7</v>
      </c>
      <c r="P42" s="24"/>
      <c r="Q42" s="24"/>
      <c r="R42" s="24">
        <v>45000</v>
      </c>
      <c r="S42" s="24">
        <v>45000</v>
      </c>
      <c r="T42" s="445"/>
      <c r="U42" s="445"/>
      <c r="V42" s="445"/>
      <c r="W42" s="445"/>
      <c r="X42" s="10"/>
    </row>
    <row r="43" spans="1:24" ht="9" customHeight="1">
      <c r="A43" s="423"/>
      <c r="B43" s="423"/>
      <c r="C43" s="423"/>
      <c r="D43" s="424"/>
      <c r="E43" s="424"/>
      <c r="F43" s="16" t="s">
        <v>87</v>
      </c>
      <c r="G43" s="445">
        <v>-10000</v>
      </c>
      <c r="H43" s="445"/>
      <c r="I43" s="24">
        <v>-10000</v>
      </c>
      <c r="J43" s="24"/>
      <c r="K43" s="24"/>
      <c r="L43" s="24"/>
      <c r="M43" s="24">
        <v>-10000</v>
      </c>
      <c r="N43" s="24"/>
      <c r="O43" s="24"/>
      <c r="P43" s="24"/>
      <c r="Q43" s="24"/>
      <c r="R43" s="24"/>
      <c r="S43" s="24"/>
      <c r="T43" s="445"/>
      <c r="U43" s="445"/>
      <c r="V43" s="445"/>
      <c r="W43" s="445"/>
      <c r="X43" s="10"/>
    </row>
    <row r="44" spans="1:24" ht="9" customHeight="1">
      <c r="A44" s="423"/>
      <c r="B44" s="423"/>
      <c r="C44" s="423"/>
      <c r="D44" s="424"/>
      <c r="E44" s="424"/>
      <c r="F44" s="16" t="s">
        <v>88</v>
      </c>
      <c r="G44" s="445">
        <v>15834.84</v>
      </c>
      <c r="H44" s="445"/>
      <c r="I44" s="24">
        <v>15834.84</v>
      </c>
      <c r="J44" s="24"/>
      <c r="K44" s="24"/>
      <c r="L44" s="24"/>
      <c r="M44" s="24">
        <v>12954.84</v>
      </c>
      <c r="N44" s="24"/>
      <c r="O44" s="24">
        <v>2880</v>
      </c>
      <c r="P44" s="24"/>
      <c r="Q44" s="24"/>
      <c r="R44" s="24"/>
      <c r="S44" s="24"/>
      <c r="T44" s="445"/>
      <c r="U44" s="445"/>
      <c r="V44" s="445"/>
      <c r="W44" s="445"/>
      <c r="X44" s="10"/>
    </row>
    <row r="45" spans="1:24" ht="9" customHeight="1">
      <c r="A45" s="423"/>
      <c r="B45" s="423"/>
      <c r="C45" s="423"/>
      <c r="D45" s="424"/>
      <c r="E45" s="424"/>
      <c r="F45" s="16" t="s">
        <v>89</v>
      </c>
      <c r="G45" s="445">
        <v>5342004.34</v>
      </c>
      <c r="H45" s="445"/>
      <c r="I45" s="24">
        <v>5297004.34</v>
      </c>
      <c r="J45" s="24">
        <v>4559944</v>
      </c>
      <c r="K45" s="24">
        <v>3737073</v>
      </c>
      <c r="L45" s="24">
        <v>822871</v>
      </c>
      <c r="M45" s="24">
        <v>458946.64</v>
      </c>
      <c r="N45" s="24">
        <v>214811</v>
      </c>
      <c r="O45" s="24">
        <v>63302.7</v>
      </c>
      <c r="P45" s="24"/>
      <c r="Q45" s="24"/>
      <c r="R45" s="24">
        <v>45000</v>
      </c>
      <c r="S45" s="24">
        <v>45000</v>
      </c>
      <c r="T45" s="445"/>
      <c r="U45" s="445"/>
      <c r="V45" s="445"/>
      <c r="W45" s="445"/>
      <c r="X45" s="10"/>
    </row>
    <row r="46" spans="1:24" ht="9" customHeight="1">
      <c r="A46" s="433"/>
      <c r="B46" s="433"/>
      <c r="C46" s="433">
        <v>80101</v>
      </c>
      <c r="D46" s="435" t="s">
        <v>37</v>
      </c>
      <c r="E46" s="435"/>
      <c r="F46" s="18" t="s">
        <v>86</v>
      </c>
      <c r="G46" s="437">
        <v>2706081.7</v>
      </c>
      <c r="H46" s="437"/>
      <c r="I46" s="25">
        <v>2661081.7</v>
      </c>
      <c r="J46" s="25">
        <v>2481235</v>
      </c>
      <c r="K46" s="25">
        <v>2129820</v>
      </c>
      <c r="L46" s="25">
        <v>351415</v>
      </c>
      <c r="M46" s="25"/>
      <c r="N46" s="25">
        <v>119424</v>
      </c>
      <c r="O46" s="25">
        <v>60422.7</v>
      </c>
      <c r="P46" s="25"/>
      <c r="Q46" s="25"/>
      <c r="R46" s="25">
        <v>45000</v>
      </c>
      <c r="S46" s="25">
        <v>45000</v>
      </c>
      <c r="T46" s="437"/>
      <c r="U46" s="437"/>
      <c r="V46" s="437"/>
      <c r="W46" s="437"/>
      <c r="X46" s="10"/>
    </row>
    <row r="47" spans="1:24" ht="9" customHeight="1">
      <c r="A47" s="433"/>
      <c r="B47" s="433"/>
      <c r="C47" s="433"/>
      <c r="D47" s="435"/>
      <c r="E47" s="435"/>
      <c r="F47" s="16" t="s">
        <v>87</v>
      </c>
      <c r="G47" s="445"/>
      <c r="H47" s="445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445"/>
      <c r="U47" s="445"/>
      <c r="V47" s="445"/>
      <c r="W47" s="445"/>
      <c r="X47" s="10"/>
    </row>
    <row r="48" spans="1:24" ht="9" customHeight="1">
      <c r="A48" s="433"/>
      <c r="B48" s="433"/>
      <c r="C48" s="433"/>
      <c r="D48" s="435"/>
      <c r="E48" s="435"/>
      <c r="F48" s="16" t="s">
        <v>88</v>
      </c>
      <c r="G48" s="445">
        <v>2880</v>
      </c>
      <c r="H48" s="445"/>
      <c r="I48" s="24">
        <v>2880</v>
      </c>
      <c r="J48" s="24"/>
      <c r="K48" s="24"/>
      <c r="L48" s="24"/>
      <c r="M48" s="24"/>
      <c r="N48" s="24"/>
      <c r="O48" s="24">
        <v>2880</v>
      </c>
      <c r="P48" s="24"/>
      <c r="Q48" s="24"/>
      <c r="R48" s="24"/>
      <c r="S48" s="24"/>
      <c r="T48" s="445"/>
      <c r="U48" s="445"/>
      <c r="V48" s="445"/>
      <c r="W48" s="445"/>
      <c r="X48" s="10"/>
    </row>
    <row r="49" spans="1:24" ht="9" customHeight="1">
      <c r="A49" s="433"/>
      <c r="B49" s="433"/>
      <c r="C49" s="433"/>
      <c r="D49" s="435"/>
      <c r="E49" s="435"/>
      <c r="F49" s="16" t="s">
        <v>89</v>
      </c>
      <c r="G49" s="445">
        <v>2708961.7</v>
      </c>
      <c r="H49" s="445"/>
      <c r="I49" s="24">
        <v>2663961.7</v>
      </c>
      <c r="J49" s="24">
        <v>2481235</v>
      </c>
      <c r="K49" s="24">
        <v>2129820</v>
      </c>
      <c r="L49" s="24">
        <v>351415</v>
      </c>
      <c r="M49" s="24"/>
      <c r="N49" s="24">
        <v>119424</v>
      </c>
      <c r="O49" s="24">
        <v>63302.7</v>
      </c>
      <c r="P49" s="24"/>
      <c r="Q49" s="24"/>
      <c r="R49" s="24">
        <v>45000</v>
      </c>
      <c r="S49" s="24">
        <v>45000</v>
      </c>
      <c r="T49" s="445"/>
      <c r="U49" s="445"/>
      <c r="V49" s="445"/>
      <c r="W49" s="445"/>
      <c r="X49" s="10"/>
    </row>
    <row r="50" spans="1:24" ht="9" customHeight="1">
      <c r="A50" s="433"/>
      <c r="B50" s="433"/>
      <c r="C50" s="433">
        <v>80104</v>
      </c>
      <c r="D50" s="435" t="s">
        <v>97</v>
      </c>
      <c r="E50" s="435"/>
      <c r="F50" s="18" t="s">
        <v>86</v>
      </c>
      <c r="G50" s="437">
        <v>268811.8</v>
      </c>
      <c r="H50" s="437"/>
      <c r="I50" s="25">
        <v>268811.8</v>
      </c>
      <c r="J50" s="25">
        <v>2820</v>
      </c>
      <c r="K50" s="25">
        <v>1100</v>
      </c>
      <c r="L50" s="25">
        <v>1720</v>
      </c>
      <c r="M50" s="25">
        <v>265991.8</v>
      </c>
      <c r="N50" s="25"/>
      <c r="O50" s="25"/>
      <c r="P50" s="25"/>
      <c r="Q50" s="25"/>
      <c r="R50" s="25"/>
      <c r="S50" s="25"/>
      <c r="T50" s="437"/>
      <c r="U50" s="437"/>
      <c r="V50" s="437"/>
      <c r="W50" s="437"/>
      <c r="X50" s="10"/>
    </row>
    <row r="51" spans="1:24" ht="9" customHeight="1">
      <c r="A51" s="433"/>
      <c r="B51" s="433"/>
      <c r="C51" s="433"/>
      <c r="D51" s="435"/>
      <c r="E51" s="435"/>
      <c r="F51" s="16" t="s">
        <v>87</v>
      </c>
      <c r="G51" s="445">
        <v>-10000</v>
      </c>
      <c r="H51" s="445"/>
      <c r="I51" s="24">
        <v>-10000</v>
      </c>
      <c r="J51" s="24"/>
      <c r="K51" s="24"/>
      <c r="L51" s="24"/>
      <c r="M51" s="24">
        <v>-10000</v>
      </c>
      <c r="N51" s="24"/>
      <c r="O51" s="24"/>
      <c r="P51" s="24"/>
      <c r="Q51" s="24"/>
      <c r="R51" s="24"/>
      <c r="S51" s="24"/>
      <c r="T51" s="445"/>
      <c r="U51" s="445"/>
      <c r="V51" s="445"/>
      <c r="W51" s="445"/>
      <c r="X51" s="10"/>
    </row>
    <row r="52" spans="1:24" ht="9" customHeight="1">
      <c r="A52" s="433"/>
      <c r="B52" s="433"/>
      <c r="C52" s="433"/>
      <c r="D52" s="435"/>
      <c r="E52" s="435"/>
      <c r="F52" s="16" t="s">
        <v>88</v>
      </c>
      <c r="G52" s="445">
        <v>12954.84</v>
      </c>
      <c r="H52" s="445"/>
      <c r="I52" s="24">
        <v>12954.84</v>
      </c>
      <c r="J52" s="24"/>
      <c r="K52" s="24"/>
      <c r="L52" s="24"/>
      <c r="M52" s="24">
        <v>12954.84</v>
      </c>
      <c r="N52" s="24"/>
      <c r="O52" s="24"/>
      <c r="P52" s="24"/>
      <c r="Q52" s="24"/>
      <c r="R52" s="24"/>
      <c r="S52" s="24"/>
      <c r="T52" s="445"/>
      <c r="U52" s="445"/>
      <c r="V52" s="445"/>
      <c r="W52" s="445"/>
      <c r="X52" s="10"/>
    </row>
    <row r="53" spans="1:24" ht="9" customHeight="1">
      <c r="A53" s="433"/>
      <c r="B53" s="433"/>
      <c r="C53" s="433"/>
      <c r="D53" s="435"/>
      <c r="E53" s="435"/>
      <c r="F53" s="16" t="s">
        <v>89</v>
      </c>
      <c r="G53" s="445">
        <v>271766.64</v>
      </c>
      <c r="H53" s="445"/>
      <c r="I53" s="24">
        <v>271766.64</v>
      </c>
      <c r="J53" s="24">
        <v>2820</v>
      </c>
      <c r="K53" s="24">
        <v>1100</v>
      </c>
      <c r="L53" s="24">
        <v>1720</v>
      </c>
      <c r="M53" s="24">
        <v>268946.64</v>
      </c>
      <c r="N53" s="24"/>
      <c r="O53" s="24"/>
      <c r="P53" s="24"/>
      <c r="Q53" s="24"/>
      <c r="R53" s="24"/>
      <c r="S53" s="24"/>
      <c r="T53" s="445"/>
      <c r="U53" s="445"/>
      <c r="V53" s="445"/>
      <c r="W53" s="445"/>
      <c r="X53" s="10"/>
    </row>
    <row r="54" spans="1:24" ht="9" customHeight="1">
      <c r="A54" s="423">
        <v>852</v>
      </c>
      <c r="B54" s="423"/>
      <c r="C54" s="423"/>
      <c r="D54" s="424" t="s">
        <v>98</v>
      </c>
      <c r="E54" s="424"/>
      <c r="F54" s="16" t="s">
        <v>86</v>
      </c>
      <c r="G54" s="445">
        <v>2907320.4</v>
      </c>
      <c r="H54" s="445"/>
      <c r="I54" s="24">
        <v>2907320.4</v>
      </c>
      <c r="J54" s="24">
        <v>508578.4</v>
      </c>
      <c r="K54" s="24">
        <v>340608</v>
      </c>
      <c r="L54" s="24">
        <v>167970.4</v>
      </c>
      <c r="M54" s="24"/>
      <c r="N54" s="24">
        <v>2206742</v>
      </c>
      <c r="O54" s="24">
        <v>192000</v>
      </c>
      <c r="P54" s="17"/>
      <c r="Q54" s="17"/>
      <c r="R54" s="17"/>
      <c r="S54" s="17"/>
      <c r="T54" s="422"/>
      <c r="U54" s="422"/>
      <c r="V54" s="422"/>
      <c r="W54" s="422"/>
      <c r="X54" s="10"/>
    </row>
    <row r="55" spans="1:24" ht="9" customHeight="1">
      <c r="A55" s="423"/>
      <c r="B55" s="423"/>
      <c r="C55" s="423"/>
      <c r="D55" s="424"/>
      <c r="E55" s="424"/>
      <c r="F55" s="16" t="s">
        <v>87</v>
      </c>
      <c r="G55" s="445"/>
      <c r="H55" s="445"/>
      <c r="I55" s="24"/>
      <c r="J55" s="24"/>
      <c r="K55" s="24"/>
      <c r="L55" s="24"/>
      <c r="M55" s="24"/>
      <c r="N55" s="24"/>
      <c r="O55" s="24"/>
      <c r="P55" s="17"/>
      <c r="Q55" s="17"/>
      <c r="R55" s="17"/>
      <c r="S55" s="17"/>
      <c r="T55" s="422"/>
      <c r="U55" s="422"/>
      <c r="V55" s="422"/>
      <c r="W55" s="422"/>
      <c r="X55" s="10"/>
    </row>
    <row r="56" spans="1:24" ht="9" customHeight="1">
      <c r="A56" s="423"/>
      <c r="B56" s="423"/>
      <c r="C56" s="423"/>
      <c r="D56" s="424"/>
      <c r="E56" s="424"/>
      <c r="F56" s="16" t="s">
        <v>88</v>
      </c>
      <c r="G56" s="445">
        <v>34070</v>
      </c>
      <c r="H56" s="445"/>
      <c r="I56" s="24">
        <v>34070</v>
      </c>
      <c r="J56" s="24">
        <v>34070</v>
      </c>
      <c r="K56" s="24">
        <v>7070</v>
      </c>
      <c r="L56" s="24">
        <v>27000</v>
      </c>
      <c r="M56" s="24"/>
      <c r="N56" s="24"/>
      <c r="O56" s="24"/>
      <c r="P56" s="17"/>
      <c r="Q56" s="17"/>
      <c r="R56" s="17"/>
      <c r="S56" s="17"/>
      <c r="T56" s="422"/>
      <c r="U56" s="422"/>
      <c r="V56" s="422"/>
      <c r="W56" s="422"/>
      <c r="X56" s="10"/>
    </row>
    <row r="57" spans="1:24" ht="9" customHeight="1">
      <c r="A57" s="423"/>
      <c r="B57" s="423"/>
      <c r="C57" s="423"/>
      <c r="D57" s="424"/>
      <c r="E57" s="424"/>
      <c r="F57" s="16" t="s">
        <v>89</v>
      </c>
      <c r="G57" s="445">
        <v>2941390.4</v>
      </c>
      <c r="H57" s="445"/>
      <c r="I57" s="24">
        <v>2941390.4</v>
      </c>
      <c r="J57" s="24">
        <v>542648.4</v>
      </c>
      <c r="K57" s="24">
        <v>347678</v>
      </c>
      <c r="L57" s="24">
        <v>194970.4</v>
      </c>
      <c r="M57" s="24"/>
      <c r="N57" s="24">
        <v>2206742</v>
      </c>
      <c r="O57" s="24">
        <v>192000</v>
      </c>
      <c r="P57" s="17"/>
      <c r="Q57" s="17"/>
      <c r="R57" s="17"/>
      <c r="S57" s="17"/>
      <c r="T57" s="422"/>
      <c r="U57" s="422"/>
      <c r="V57" s="422"/>
      <c r="W57" s="422"/>
      <c r="X57" s="10"/>
    </row>
    <row r="58" spans="2:24" ht="14.25" customHeight="1">
      <c r="B58" s="426"/>
      <c r="C58" s="426"/>
      <c r="D58" s="426"/>
      <c r="E58" s="427"/>
      <c r="F58" s="427"/>
      <c r="G58" s="427"/>
      <c r="H58" s="447"/>
      <c r="I58" s="447"/>
      <c r="J58" s="447"/>
      <c r="K58" s="447"/>
      <c r="L58" s="447"/>
      <c r="M58" s="447"/>
      <c r="N58" s="447"/>
      <c r="O58" s="447"/>
      <c r="P58" s="447"/>
      <c r="Q58" s="447"/>
      <c r="R58" s="447"/>
      <c r="S58" s="447"/>
      <c r="T58" s="447"/>
      <c r="U58" s="447"/>
      <c r="V58" s="447"/>
      <c r="W58" s="447"/>
      <c r="X58" s="10"/>
    </row>
    <row r="59" spans="1:24" ht="9" customHeight="1">
      <c r="A59" s="423" t="s">
        <v>1</v>
      </c>
      <c r="B59" s="423"/>
      <c r="C59" s="423" t="s">
        <v>2</v>
      </c>
      <c r="D59" s="423" t="s">
        <v>4</v>
      </c>
      <c r="E59" s="423"/>
      <c r="F59" s="423"/>
      <c r="G59" s="423" t="s">
        <v>68</v>
      </c>
      <c r="H59" s="423"/>
      <c r="I59" s="423" t="s">
        <v>69</v>
      </c>
      <c r="J59" s="423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10"/>
    </row>
    <row r="60" spans="1:24" ht="12.75" customHeight="1">
      <c r="A60" s="423"/>
      <c r="B60" s="423"/>
      <c r="C60" s="423"/>
      <c r="D60" s="423"/>
      <c r="E60" s="423"/>
      <c r="F60" s="423"/>
      <c r="G60" s="423"/>
      <c r="H60" s="423"/>
      <c r="I60" s="423" t="s">
        <v>70</v>
      </c>
      <c r="J60" s="423" t="s">
        <v>71</v>
      </c>
      <c r="K60" s="423"/>
      <c r="L60" s="423"/>
      <c r="M60" s="423"/>
      <c r="N60" s="423"/>
      <c r="O60" s="423"/>
      <c r="P60" s="423"/>
      <c r="Q60" s="423"/>
      <c r="R60" s="423" t="s">
        <v>72</v>
      </c>
      <c r="S60" s="423" t="s">
        <v>71</v>
      </c>
      <c r="T60" s="423"/>
      <c r="U60" s="423"/>
      <c r="V60" s="423"/>
      <c r="W60" s="423"/>
      <c r="X60" s="10"/>
    </row>
    <row r="61" spans="1:24" ht="2.25" customHeight="1">
      <c r="A61" s="423"/>
      <c r="B61" s="423"/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 t="s">
        <v>73</v>
      </c>
      <c r="T61" s="423" t="s">
        <v>74</v>
      </c>
      <c r="U61" s="423"/>
      <c r="V61" s="423" t="s">
        <v>75</v>
      </c>
      <c r="W61" s="423"/>
      <c r="X61" s="10"/>
    </row>
    <row r="62" spans="1:24" ht="6" customHeight="1">
      <c r="A62" s="423"/>
      <c r="B62" s="423"/>
      <c r="C62" s="423"/>
      <c r="D62" s="423"/>
      <c r="E62" s="423"/>
      <c r="F62" s="423"/>
      <c r="G62" s="423"/>
      <c r="H62" s="423"/>
      <c r="I62" s="423"/>
      <c r="J62" s="423" t="s">
        <v>76</v>
      </c>
      <c r="K62" s="423" t="s">
        <v>71</v>
      </c>
      <c r="L62" s="423"/>
      <c r="M62" s="423" t="s">
        <v>77</v>
      </c>
      <c r="N62" s="423" t="s">
        <v>78</v>
      </c>
      <c r="O62" s="423" t="s">
        <v>79</v>
      </c>
      <c r="P62" s="423" t="s">
        <v>80</v>
      </c>
      <c r="Q62" s="423" t="s">
        <v>81</v>
      </c>
      <c r="R62" s="423"/>
      <c r="S62" s="423"/>
      <c r="T62" s="423"/>
      <c r="U62" s="423"/>
      <c r="V62" s="423"/>
      <c r="W62" s="423"/>
      <c r="X62" s="10"/>
    </row>
    <row r="63" spans="1:24" ht="2.25" customHeight="1">
      <c r="A63" s="423"/>
      <c r="B63" s="423"/>
      <c r="C63" s="423"/>
      <c r="D63" s="423"/>
      <c r="E63" s="423"/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3"/>
      <c r="Q63" s="423"/>
      <c r="R63" s="423"/>
      <c r="S63" s="423"/>
      <c r="T63" s="423" t="s">
        <v>82</v>
      </c>
      <c r="U63" s="423"/>
      <c r="V63" s="423"/>
      <c r="W63" s="423"/>
      <c r="X63" s="10"/>
    </row>
    <row r="64" spans="1:24" ht="44.25" customHeight="1">
      <c r="A64" s="423"/>
      <c r="B64" s="423"/>
      <c r="C64" s="423"/>
      <c r="D64" s="423"/>
      <c r="E64" s="423"/>
      <c r="F64" s="423"/>
      <c r="G64" s="423"/>
      <c r="H64" s="423"/>
      <c r="I64" s="423"/>
      <c r="J64" s="423"/>
      <c r="K64" s="11" t="s">
        <v>83</v>
      </c>
      <c r="L64" s="11" t="s">
        <v>84</v>
      </c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10"/>
    </row>
    <row r="65" spans="1:24" s="22" customFormat="1" ht="9" customHeight="1" thickBot="1">
      <c r="A65" s="430">
        <v>1</v>
      </c>
      <c r="B65" s="430"/>
      <c r="C65" s="21">
        <v>2</v>
      </c>
      <c r="D65" s="430">
        <v>3</v>
      </c>
      <c r="E65" s="430"/>
      <c r="F65" s="430"/>
      <c r="G65" s="430">
        <v>4</v>
      </c>
      <c r="H65" s="430"/>
      <c r="I65" s="21">
        <v>5</v>
      </c>
      <c r="J65" s="21">
        <v>6</v>
      </c>
      <c r="K65" s="21">
        <v>7</v>
      </c>
      <c r="L65" s="21">
        <v>8</v>
      </c>
      <c r="M65" s="21">
        <v>9</v>
      </c>
      <c r="N65" s="21">
        <v>10</v>
      </c>
      <c r="O65" s="21">
        <v>11</v>
      </c>
      <c r="P65" s="21">
        <v>12</v>
      </c>
      <c r="Q65" s="21">
        <v>13</v>
      </c>
      <c r="R65" s="21">
        <v>14</v>
      </c>
      <c r="S65" s="21">
        <v>15</v>
      </c>
      <c r="T65" s="430">
        <v>16</v>
      </c>
      <c r="U65" s="430"/>
      <c r="V65" s="430">
        <v>17</v>
      </c>
      <c r="W65" s="430"/>
      <c r="X65" s="23"/>
    </row>
    <row r="66" spans="1:24" ht="9" customHeight="1" thickBot="1">
      <c r="A66" s="433"/>
      <c r="B66" s="433"/>
      <c r="C66" s="433">
        <v>85219</v>
      </c>
      <c r="D66" s="435" t="s">
        <v>99</v>
      </c>
      <c r="E66" s="435"/>
      <c r="F66" s="18" t="s">
        <v>86</v>
      </c>
      <c r="G66" s="437">
        <v>573109</v>
      </c>
      <c r="H66" s="437"/>
      <c r="I66" s="25">
        <v>573109</v>
      </c>
      <c r="J66" s="25">
        <v>378047</v>
      </c>
      <c r="K66" s="25">
        <v>301620</v>
      </c>
      <c r="L66" s="25">
        <v>76427</v>
      </c>
      <c r="M66" s="25"/>
      <c r="N66" s="25">
        <v>3062</v>
      </c>
      <c r="O66" s="25">
        <v>192000</v>
      </c>
      <c r="P66" s="12"/>
      <c r="Q66" s="12"/>
      <c r="R66" s="12"/>
      <c r="S66" s="12"/>
      <c r="T66" s="425"/>
      <c r="U66" s="425"/>
      <c r="V66" s="425"/>
      <c r="W66" s="425"/>
      <c r="X66" s="10"/>
    </row>
    <row r="67" spans="1:24" ht="9" customHeight="1">
      <c r="A67" s="433"/>
      <c r="B67" s="433"/>
      <c r="C67" s="433"/>
      <c r="D67" s="435"/>
      <c r="E67" s="435"/>
      <c r="F67" s="16" t="s">
        <v>87</v>
      </c>
      <c r="G67" s="445"/>
      <c r="H67" s="445"/>
      <c r="I67" s="24"/>
      <c r="J67" s="24"/>
      <c r="K67" s="24"/>
      <c r="L67" s="24"/>
      <c r="M67" s="24"/>
      <c r="N67" s="24"/>
      <c r="O67" s="24"/>
      <c r="P67" s="17"/>
      <c r="Q67" s="17"/>
      <c r="R67" s="17"/>
      <c r="S67" s="17"/>
      <c r="T67" s="422"/>
      <c r="U67" s="422"/>
      <c r="V67" s="422"/>
      <c r="W67" s="422"/>
      <c r="X67" s="10"/>
    </row>
    <row r="68" spans="1:24" ht="9" customHeight="1">
      <c r="A68" s="433"/>
      <c r="B68" s="433"/>
      <c r="C68" s="433"/>
      <c r="D68" s="435"/>
      <c r="E68" s="435"/>
      <c r="F68" s="16" t="s">
        <v>88</v>
      </c>
      <c r="G68" s="445">
        <v>34070</v>
      </c>
      <c r="H68" s="445"/>
      <c r="I68" s="24">
        <v>34070</v>
      </c>
      <c r="J68" s="24">
        <v>34070</v>
      </c>
      <c r="K68" s="24">
        <v>7070</v>
      </c>
      <c r="L68" s="24">
        <v>27000</v>
      </c>
      <c r="M68" s="24"/>
      <c r="N68" s="24"/>
      <c r="O68" s="24"/>
      <c r="P68" s="17"/>
      <c r="Q68" s="17"/>
      <c r="R68" s="17"/>
      <c r="S68" s="17"/>
      <c r="T68" s="422"/>
      <c r="U68" s="422"/>
      <c r="V68" s="422"/>
      <c r="W68" s="422"/>
      <c r="X68" s="10"/>
    </row>
    <row r="69" spans="1:24" ht="9" customHeight="1">
      <c r="A69" s="433"/>
      <c r="B69" s="433"/>
      <c r="C69" s="433"/>
      <c r="D69" s="435"/>
      <c r="E69" s="435"/>
      <c r="F69" s="16" t="s">
        <v>89</v>
      </c>
      <c r="G69" s="445">
        <v>607179</v>
      </c>
      <c r="H69" s="445"/>
      <c r="I69" s="24">
        <v>607179</v>
      </c>
      <c r="J69" s="24">
        <v>412117</v>
      </c>
      <c r="K69" s="24">
        <v>308690</v>
      </c>
      <c r="L69" s="24">
        <v>103427</v>
      </c>
      <c r="M69" s="24"/>
      <c r="N69" s="24">
        <v>3062</v>
      </c>
      <c r="O69" s="24">
        <v>192000</v>
      </c>
      <c r="P69" s="17"/>
      <c r="Q69" s="17"/>
      <c r="R69" s="17"/>
      <c r="S69" s="17"/>
      <c r="T69" s="422"/>
      <c r="U69" s="422"/>
      <c r="V69" s="422"/>
      <c r="W69" s="422"/>
      <c r="X69" s="10"/>
    </row>
    <row r="70" spans="1:24" ht="9" customHeight="1">
      <c r="A70" s="423">
        <v>921</v>
      </c>
      <c r="B70" s="423"/>
      <c r="C70" s="423"/>
      <c r="D70" s="424" t="s">
        <v>100</v>
      </c>
      <c r="E70" s="424"/>
      <c r="F70" s="16" t="s">
        <v>86</v>
      </c>
      <c r="G70" s="445">
        <v>1108635.46</v>
      </c>
      <c r="H70" s="445"/>
      <c r="I70" s="24">
        <v>689969.46</v>
      </c>
      <c r="J70" s="24">
        <v>83731.91</v>
      </c>
      <c r="K70" s="24">
        <v>4250</v>
      </c>
      <c r="L70" s="24">
        <v>79481.91</v>
      </c>
      <c r="M70" s="24">
        <v>537400</v>
      </c>
      <c r="N70" s="24"/>
      <c r="O70" s="24">
        <v>68837.55</v>
      </c>
      <c r="P70" s="24"/>
      <c r="Q70" s="24"/>
      <c r="R70" s="24">
        <v>418666</v>
      </c>
      <c r="S70" s="24">
        <v>418666</v>
      </c>
      <c r="T70" s="445">
        <v>86815</v>
      </c>
      <c r="U70" s="445"/>
      <c r="V70" s="445"/>
      <c r="W70" s="445"/>
      <c r="X70" s="10"/>
    </row>
    <row r="71" spans="1:24" ht="9" customHeight="1">
      <c r="A71" s="423"/>
      <c r="B71" s="423"/>
      <c r="C71" s="423"/>
      <c r="D71" s="424"/>
      <c r="E71" s="424"/>
      <c r="F71" s="16" t="s">
        <v>87</v>
      </c>
      <c r="G71" s="445"/>
      <c r="H71" s="445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445"/>
      <c r="U71" s="445"/>
      <c r="V71" s="445"/>
      <c r="W71" s="445"/>
      <c r="X71" s="10"/>
    </row>
    <row r="72" spans="1:24" ht="9" customHeight="1">
      <c r="A72" s="423"/>
      <c r="B72" s="423"/>
      <c r="C72" s="423"/>
      <c r="D72" s="424"/>
      <c r="E72" s="424"/>
      <c r="F72" s="16" t="s">
        <v>88</v>
      </c>
      <c r="G72" s="445">
        <v>39361</v>
      </c>
      <c r="H72" s="445"/>
      <c r="I72" s="24">
        <v>11526</v>
      </c>
      <c r="J72" s="24">
        <v>11526</v>
      </c>
      <c r="K72" s="24"/>
      <c r="L72" s="24">
        <v>11526</v>
      </c>
      <c r="M72" s="24"/>
      <c r="N72" s="24"/>
      <c r="O72" s="24"/>
      <c r="P72" s="24"/>
      <c r="Q72" s="24"/>
      <c r="R72" s="24">
        <v>27835</v>
      </c>
      <c r="S72" s="24">
        <v>27835</v>
      </c>
      <c r="T72" s="445"/>
      <c r="U72" s="445"/>
      <c r="V72" s="445"/>
      <c r="W72" s="445"/>
      <c r="X72" s="10"/>
    </row>
    <row r="73" spans="1:24" ht="9" customHeight="1">
      <c r="A73" s="423"/>
      <c r="B73" s="423"/>
      <c r="C73" s="423"/>
      <c r="D73" s="424"/>
      <c r="E73" s="424"/>
      <c r="F73" s="16" t="s">
        <v>89</v>
      </c>
      <c r="G73" s="445">
        <v>1147996.46</v>
      </c>
      <c r="H73" s="445"/>
      <c r="I73" s="24">
        <v>701495.46</v>
      </c>
      <c r="J73" s="24">
        <v>95257.91</v>
      </c>
      <c r="K73" s="24">
        <v>4250</v>
      </c>
      <c r="L73" s="24">
        <v>91007.91</v>
      </c>
      <c r="M73" s="24">
        <v>537400</v>
      </c>
      <c r="N73" s="24"/>
      <c r="O73" s="24">
        <v>68837.55</v>
      </c>
      <c r="P73" s="24"/>
      <c r="Q73" s="24"/>
      <c r="R73" s="24">
        <v>446501</v>
      </c>
      <c r="S73" s="24">
        <v>446501</v>
      </c>
      <c r="T73" s="445">
        <v>86815</v>
      </c>
      <c r="U73" s="445"/>
      <c r="V73" s="445"/>
      <c r="W73" s="445"/>
      <c r="X73" s="10"/>
    </row>
    <row r="74" spans="1:24" ht="9" customHeight="1">
      <c r="A74" s="433"/>
      <c r="B74" s="433"/>
      <c r="C74" s="433">
        <v>92109</v>
      </c>
      <c r="D74" s="435" t="s">
        <v>101</v>
      </c>
      <c r="E74" s="435"/>
      <c r="F74" s="18" t="s">
        <v>86</v>
      </c>
      <c r="G74" s="437">
        <v>721083.81</v>
      </c>
      <c r="H74" s="437"/>
      <c r="I74" s="25">
        <v>328917.81</v>
      </c>
      <c r="J74" s="25">
        <v>33780.91</v>
      </c>
      <c r="K74" s="25">
        <v>1500</v>
      </c>
      <c r="L74" s="25">
        <v>32280.91</v>
      </c>
      <c r="M74" s="25">
        <v>268000</v>
      </c>
      <c r="N74" s="25"/>
      <c r="O74" s="25">
        <v>27136.9</v>
      </c>
      <c r="P74" s="25"/>
      <c r="Q74" s="25"/>
      <c r="R74" s="25">
        <v>392166</v>
      </c>
      <c r="S74" s="25">
        <v>392166</v>
      </c>
      <c r="T74" s="437">
        <v>86815</v>
      </c>
      <c r="U74" s="437"/>
      <c r="V74" s="437"/>
      <c r="W74" s="437"/>
      <c r="X74" s="10"/>
    </row>
    <row r="75" spans="1:24" ht="9" customHeight="1">
      <c r="A75" s="433"/>
      <c r="B75" s="433"/>
      <c r="C75" s="433"/>
      <c r="D75" s="435"/>
      <c r="E75" s="435"/>
      <c r="F75" s="16" t="s">
        <v>87</v>
      </c>
      <c r="G75" s="445">
        <v>14326</v>
      </c>
      <c r="H75" s="445"/>
      <c r="I75" s="24"/>
      <c r="J75" s="24"/>
      <c r="K75" s="24"/>
      <c r="L75" s="24"/>
      <c r="M75" s="24"/>
      <c r="N75" s="24"/>
      <c r="O75" s="24"/>
      <c r="P75" s="24"/>
      <c r="Q75" s="24"/>
      <c r="R75" s="24">
        <v>14326</v>
      </c>
      <c r="S75" s="24">
        <v>14326</v>
      </c>
      <c r="T75" s="445"/>
      <c r="U75" s="445"/>
      <c r="V75" s="445"/>
      <c r="W75" s="445"/>
      <c r="X75" s="10"/>
    </row>
    <row r="76" spans="1:24" ht="9" customHeight="1">
      <c r="A76" s="433"/>
      <c r="B76" s="433"/>
      <c r="C76" s="433"/>
      <c r="D76" s="435"/>
      <c r="E76" s="435"/>
      <c r="F76" s="16" t="s">
        <v>88</v>
      </c>
      <c r="G76" s="445">
        <v>53687</v>
      </c>
      <c r="H76" s="445"/>
      <c r="I76" s="24">
        <v>11526</v>
      </c>
      <c r="J76" s="24">
        <v>11526</v>
      </c>
      <c r="K76" s="24"/>
      <c r="L76" s="24">
        <v>11526</v>
      </c>
      <c r="M76" s="24"/>
      <c r="N76" s="24"/>
      <c r="O76" s="24"/>
      <c r="P76" s="24"/>
      <c r="Q76" s="24"/>
      <c r="R76" s="24">
        <v>42161</v>
      </c>
      <c r="S76" s="24">
        <v>42161</v>
      </c>
      <c r="T76" s="445"/>
      <c r="U76" s="445"/>
      <c r="V76" s="445"/>
      <c r="W76" s="445"/>
      <c r="X76" s="10"/>
    </row>
    <row r="77" spans="1:24" ht="9" customHeight="1" thickBot="1">
      <c r="A77" s="434"/>
      <c r="B77" s="434"/>
      <c r="C77" s="434"/>
      <c r="D77" s="436"/>
      <c r="E77" s="436"/>
      <c r="F77" s="26" t="s">
        <v>89</v>
      </c>
      <c r="G77" s="441">
        <v>760444.81</v>
      </c>
      <c r="H77" s="441"/>
      <c r="I77" s="14">
        <v>340443.81</v>
      </c>
      <c r="J77" s="14">
        <v>45306.91</v>
      </c>
      <c r="K77" s="14">
        <v>1500</v>
      </c>
      <c r="L77" s="14">
        <v>43806.91</v>
      </c>
      <c r="M77" s="14">
        <v>268000</v>
      </c>
      <c r="N77" s="14"/>
      <c r="O77" s="14">
        <v>27136.9</v>
      </c>
      <c r="P77" s="14"/>
      <c r="Q77" s="14"/>
      <c r="R77" s="14">
        <v>420001</v>
      </c>
      <c r="S77" s="14">
        <v>420001</v>
      </c>
      <c r="T77" s="441">
        <v>86815</v>
      </c>
      <c r="U77" s="441"/>
      <c r="V77" s="441"/>
      <c r="W77" s="441"/>
      <c r="X77" s="10"/>
    </row>
    <row r="78" spans="1:24" ht="9" customHeight="1">
      <c r="A78" s="464" t="s">
        <v>102</v>
      </c>
      <c r="B78" s="465"/>
      <c r="C78" s="465"/>
      <c r="D78" s="465"/>
      <c r="E78" s="465"/>
      <c r="F78" s="27" t="s">
        <v>86</v>
      </c>
      <c r="G78" s="440">
        <v>17966648.86</v>
      </c>
      <c r="H78" s="440"/>
      <c r="I78" s="15">
        <v>14662260.68</v>
      </c>
      <c r="J78" s="15">
        <v>9312794.03</v>
      </c>
      <c r="K78" s="15">
        <v>5668443.37</v>
      </c>
      <c r="L78" s="15">
        <v>3644350.66</v>
      </c>
      <c r="M78" s="15">
        <v>1947876.4</v>
      </c>
      <c r="N78" s="15">
        <v>2632230</v>
      </c>
      <c r="O78" s="15">
        <v>321260.25</v>
      </c>
      <c r="P78" s="15">
        <v>0</v>
      </c>
      <c r="Q78" s="15">
        <v>448100</v>
      </c>
      <c r="R78" s="15">
        <v>3304388.18</v>
      </c>
      <c r="S78" s="15">
        <v>3304388.18</v>
      </c>
      <c r="T78" s="440">
        <v>1591815</v>
      </c>
      <c r="U78" s="440"/>
      <c r="V78" s="440">
        <v>0</v>
      </c>
      <c r="W78" s="442"/>
      <c r="X78" s="10"/>
    </row>
    <row r="79" spans="1:24" ht="9" customHeight="1">
      <c r="A79" s="466"/>
      <c r="B79" s="467"/>
      <c r="C79" s="467"/>
      <c r="D79" s="467"/>
      <c r="E79" s="467"/>
      <c r="F79" s="28" t="s">
        <v>87</v>
      </c>
      <c r="G79" s="443">
        <v>-208487</v>
      </c>
      <c r="H79" s="443"/>
      <c r="I79" s="13">
        <v>-32000</v>
      </c>
      <c r="J79" s="13">
        <v>-22000</v>
      </c>
      <c r="K79" s="13">
        <v>0</v>
      </c>
      <c r="L79" s="13">
        <v>-22000</v>
      </c>
      <c r="M79" s="13">
        <v>-10000</v>
      </c>
      <c r="N79" s="13">
        <v>0</v>
      </c>
      <c r="O79" s="13">
        <v>0</v>
      </c>
      <c r="P79" s="13">
        <v>0</v>
      </c>
      <c r="Q79" s="13">
        <v>0</v>
      </c>
      <c r="R79" s="13">
        <v>-176487</v>
      </c>
      <c r="S79" s="13">
        <v>-176487</v>
      </c>
      <c r="T79" s="443">
        <v>-42161</v>
      </c>
      <c r="U79" s="443"/>
      <c r="V79" s="443">
        <v>0</v>
      </c>
      <c r="W79" s="444"/>
      <c r="X79" s="10"/>
    </row>
    <row r="80" spans="1:24" ht="9" customHeight="1">
      <c r="A80" s="466"/>
      <c r="B80" s="467"/>
      <c r="C80" s="467"/>
      <c r="D80" s="467"/>
      <c r="E80" s="467"/>
      <c r="F80" s="28" t="s">
        <v>88</v>
      </c>
      <c r="G80" s="443">
        <v>248391.84</v>
      </c>
      <c r="H80" s="443"/>
      <c r="I80" s="13">
        <v>61430.84</v>
      </c>
      <c r="J80" s="13">
        <v>45596</v>
      </c>
      <c r="K80" s="13">
        <v>7070</v>
      </c>
      <c r="L80" s="13">
        <v>38526</v>
      </c>
      <c r="M80" s="13">
        <v>12954.84</v>
      </c>
      <c r="N80" s="13">
        <v>0</v>
      </c>
      <c r="O80" s="13">
        <v>2880</v>
      </c>
      <c r="P80" s="13">
        <v>0</v>
      </c>
      <c r="Q80" s="13">
        <v>0</v>
      </c>
      <c r="R80" s="13">
        <v>186961</v>
      </c>
      <c r="S80" s="13">
        <v>186961</v>
      </c>
      <c r="T80" s="443">
        <v>0</v>
      </c>
      <c r="U80" s="443"/>
      <c r="V80" s="443">
        <v>0</v>
      </c>
      <c r="W80" s="444"/>
      <c r="X80" s="10"/>
    </row>
    <row r="81" spans="1:24" ht="9" customHeight="1" thickBot="1">
      <c r="A81" s="438"/>
      <c r="B81" s="439"/>
      <c r="C81" s="439"/>
      <c r="D81" s="439"/>
      <c r="E81" s="439"/>
      <c r="F81" s="29" t="s">
        <v>89</v>
      </c>
      <c r="G81" s="462">
        <v>18006553.7</v>
      </c>
      <c r="H81" s="462"/>
      <c r="I81" s="30">
        <v>14691691.52</v>
      </c>
      <c r="J81" s="30">
        <v>9336390.03</v>
      </c>
      <c r="K81" s="30">
        <v>5675513.37</v>
      </c>
      <c r="L81" s="30">
        <v>3660876.66</v>
      </c>
      <c r="M81" s="30">
        <v>1950831.24</v>
      </c>
      <c r="N81" s="30">
        <v>2632230</v>
      </c>
      <c r="O81" s="30">
        <v>324140.25</v>
      </c>
      <c r="P81" s="30">
        <v>0</v>
      </c>
      <c r="Q81" s="30">
        <v>448100</v>
      </c>
      <c r="R81" s="30">
        <v>3314862.18</v>
      </c>
      <c r="S81" s="30">
        <v>3314862.18</v>
      </c>
      <c r="T81" s="462">
        <v>1549654</v>
      </c>
      <c r="U81" s="462"/>
      <c r="V81" s="462">
        <v>0</v>
      </c>
      <c r="W81" s="463"/>
      <c r="X81" s="10"/>
    </row>
  </sheetData>
  <mergeCells count="295">
    <mergeCell ref="V65:W65"/>
    <mergeCell ref="Q62:Q64"/>
    <mergeCell ref="T63:U64"/>
    <mergeCell ref="A65:B65"/>
    <mergeCell ref="D65:F65"/>
    <mergeCell ref="G65:H65"/>
    <mergeCell ref="T65:U65"/>
    <mergeCell ref="M62:M64"/>
    <mergeCell ref="N62:N64"/>
    <mergeCell ref="O62:O64"/>
    <mergeCell ref="P62:P64"/>
    <mergeCell ref="I59:W59"/>
    <mergeCell ref="I60:I64"/>
    <mergeCell ref="J60:Q61"/>
    <mergeCell ref="R60:R64"/>
    <mergeCell ref="S60:W60"/>
    <mergeCell ref="S61:S64"/>
    <mergeCell ref="T61:U62"/>
    <mergeCell ref="V61:W64"/>
    <mergeCell ref="J62:J64"/>
    <mergeCell ref="K62:L63"/>
    <mergeCell ref="A59:B64"/>
    <mergeCell ref="C59:C64"/>
    <mergeCell ref="D59:F64"/>
    <mergeCell ref="G59:H64"/>
    <mergeCell ref="B2:D2"/>
    <mergeCell ref="E2:G2"/>
    <mergeCell ref="H2:W2"/>
    <mergeCell ref="A1:W1"/>
    <mergeCell ref="A3:B8"/>
    <mergeCell ref="C3:C8"/>
    <mergeCell ref="D3:F8"/>
    <mergeCell ref="G3:H8"/>
    <mergeCell ref="I3:W3"/>
    <mergeCell ref="I4:I8"/>
    <mergeCell ref="J4:Q5"/>
    <mergeCell ref="R4:R8"/>
    <mergeCell ref="S4:W4"/>
    <mergeCell ref="S5:S8"/>
    <mergeCell ref="T5:U6"/>
    <mergeCell ref="V5:W8"/>
    <mergeCell ref="J6:J8"/>
    <mergeCell ref="K6:L7"/>
    <mergeCell ref="Q6:Q8"/>
    <mergeCell ref="T7:U8"/>
    <mergeCell ref="A9:B9"/>
    <mergeCell ref="D9:F9"/>
    <mergeCell ref="G9:H9"/>
    <mergeCell ref="T9:U9"/>
    <mergeCell ref="M6:M8"/>
    <mergeCell ref="N6:N8"/>
    <mergeCell ref="O6:O8"/>
    <mergeCell ref="P6:P8"/>
    <mergeCell ref="V9:W9"/>
    <mergeCell ref="A10:B13"/>
    <mergeCell ref="C10:C13"/>
    <mergeCell ref="D10:E13"/>
    <mergeCell ref="G10:H10"/>
    <mergeCell ref="T10:U10"/>
    <mergeCell ref="V10:W10"/>
    <mergeCell ref="G11:H11"/>
    <mergeCell ref="T11:U11"/>
    <mergeCell ref="V11:W11"/>
    <mergeCell ref="G12:H12"/>
    <mergeCell ref="T12:U12"/>
    <mergeCell ref="V12:W12"/>
    <mergeCell ref="G13:H13"/>
    <mergeCell ref="T13:U13"/>
    <mergeCell ref="V13:W13"/>
    <mergeCell ref="A14:B17"/>
    <mergeCell ref="C14:C17"/>
    <mergeCell ref="D14:E17"/>
    <mergeCell ref="G14:H14"/>
    <mergeCell ref="G16:H16"/>
    <mergeCell ref="T14:U14"/>
    <mergeCell ref="V14:W14"/>
    <mergeCell ref="G15:H15"/>
    <mergeCell ref="T15:U15"/>
    <mergeCell ref="V15:W15"/>
    <mergeCell ref="T16:U16"/>
    <mergeCell ref="V16:W16"/>
    <mergeCell ref="G17:H17"/>
    <mergeCell ref="T17:U17"/>
    <mergeCell ref="V17:W17"/>
    <mergeCell ref="A18:B21"/>
    <mergeCell ref="C18:C21"/>
    <mergeCell ref="D18:E21"/>
    <mergeCell ref="G18:H18"/>
    <mergeCell ref="G20:H20"/>
    <mergeCell ref="T18:U18"/>
    <mergeCell ref="V18:W18"/>
    <mergeCell ref="G19:H19"/>
    <mergeCell ref="T19:U19"/>
    <mergeCell ref="V19:W19"/>
    <mergeCell ref="T20:U20"/>
    <mergeCell ref="V20:W20"/>
    <mergeCell ref="G21:H21"/>
    <mergeCell ref="T21:U21"/>
    <mergeCell ref="V21:W21"/>
    <mergeCell ref="A22:B25"/>
    <mergeCell ref="C22:C25"/>
    <mergeCell ref="D22:E25"/>
    <mergeCell ref="G22:H22"/>
    <mergeCell ref="G24:H24"/>
    <mergeCell ref="T22:U22"/>
    <mergeCell ref="V22:W22"/>
    <mergeCell ref="G23:H23"/>
    <mergeCell ref="T23:U23"/>
    <mergeCell ref="V23:W23"/>
    <mergeCell ref="T24:U24"/>
    <mergeCell ref="V24:W24"/>
    <mergeCell ref="G25:H25"/>
    <mergeCell ref="T25:U25"/>
    <mergeCell ref="V25:W25"/>
    <mergeCell ref="A26:B29"/>
    <mergeCell ref="C26:C29"/>
    <mergeCell ref="D26:E29"/>
    <mergeCell ref="G26:H26"/>
    <mergeCell ref="G28:H28"/>
    <mergeCell ref="T26:U26"/>
    <mergeCell ref="V26:W26"/>
    <mergeCell ref="G27:H27"/>
    <mergeCell ref="T27:U27"/>
    <mergeCell ref="V27:W27"/>
    <mergeCell ref="T28:U28"/>
    <mergeCell ref="V28:W28"/>
    <mergeCell ref="G29:H29"/>
    <mergeCell ref="T29:U29"/>
    <mergeCell ref="V29:W29"/>
    <mergeCell ref="A30:B33"/>
    <mergeCell ref="C30:C33"/>
    <mergeCell ref="D30:E33"/>
    <mergeCell ref="G30:H30"/>
    <mergeCell ref="G32:H32"/>
    <mergeCell ref="T30:U30"/>
    <mergeCell ref="V30:W30"/>
    <mergeCell ref="G31:H31"/>
    <mergeCell ref="T31:U31"/>
    <mergeCell ref="V31:W31"/>
    <mergeCell ref="T32:U32"/>
    <mergeCell ref="V32:W32"/>
    <mergeCell ref="G33:H33"/>
    <mergeCell ref="T33:U33"/>
    <mergeCell ref="V33:W33"/>
    <mergeCell ref="A34:B37"/>
    <mergeCell ref="C34:C37"/>
    <mergeCell ref="D34:E37"/>
    <mergeCell ref="G34:H34"/>
    <mergeCell ref="G36:H36"/>
    <mergeCell ref="T34:U34"/>
    <mergeCell ref="V34:W34"/>
    <mergeCell ref="G35:H35"/>
    <mergeCell ref="T35:U35"/>
    <mergeCell ref="V35:W35"/>
    <mergeCell ref="T36:U36"/>
    <mergeCell ref="V36:W36"/>
    <mergeCell ref="G37:H37"/>
    <mergeCell ref="T37:U37"/>
    <mergeCell ref="V37:W37"/>
    <mergeCell ref="A38:B41"/>
    <mergeCell ref="C38:C41"/>
    <mergeCell ref="D38:E41"/>
    <mergeCell ref="G38:H38"/>
    <mergeCell ref="G40:H40"/>
    <mergeCell ref="T38:U38"/>
    <mergeCell ref="V38:W38"/>
    <mergeCell ref="G39:H39"/>
    <mergeCell ref="T39:U39"/>
    <mergeCell ref="V39:W39"/>
    <mergeCell ref="T40:U40"/>
    <mergeCell ref="V40:W40"/>
    <mergeCell ref="G41:H41"/>
    <mergeCell ref="T41:U41"/>
    <mergeCell ref="V41:W41"/>
    <mergeCell ref="A42:B45"/>
    <mergeCell ref="C42:C45"/>
    <mergeCell ref="D42:E45"/>
    <mergeCell ref="G42:H42"/>
    <mergeCell ref="G44:H44"/>
    <mergeCell ref="T42:U42"/>
    <mergeCell ref="V42:W42"/>
    <mergeCell ref="G43:H43"/>
    <mergeCell ref="T43:U43"/>
    <mergeCell ref="V43:W43"/>
    <mergeCell ref="T44:U44"/>
    <mergeCell ref="V44:W44"/>
    <mergeCell ref="G45:H45"/>
    <mergeCell ref="T45:U45"/>
    <mergeCell ref="V45:W45"/>
    <mergeCell ref="A46:B49"/>
    <mergeCell ref="C46:C49"/>
    <mergeCell ref="D46:E49"/>
    <mergeCell ref="G46:H46"/>
    <mergeCell ref="G48:H48"/>
    <mergeCell ref="T46:U46"/>
    <mergeCell ref="V46:W46"/>
    <mergeCell ref="G47:H47"/>
    <mergeCell ref="T47:U47"/>
    <mergeCell ref="V47:W47"/>
    <mergeCell ref="T48:U48"/>
    <mergeCell ref="V48:W48"/>
    <mergeCell ref="G49:H49"/>
    <mergeCell ref="T49:U49"/>
    <mergeCell ref="V49:W49"/>
    <mergeCell ref="A50:B53"/>
    <mergeCell ref="C50:C53"/>
    <mergeCell ref="D50:E53"/>
    <mergeCell ref="G50:H50"/>
    <mergeCell ref="G52:H52"/>
    <mergeCell ref="T50:U50"/>
    <mergeCell ref="V50:W50"/>
    <mergeCell ref="G51:H51"/>
    <mergeCell ref="T51:U51"/>
    <mergeCell ref="V51:W51"/>
    <mergeCell ref="T52:U52"/>
    <mergeCell ref="V52:W52"/>
    <mergeCell ref="G53:H53"/>
    <mergeCell ref="T53:U53"/>
    <mergeCell ref="V53:W53"/>
    <mergeCell ref="B58:D58"/>
    <mergeCell ref="E58:G58"/>
    <mergeCell ref="H58:W58"/>
    <mergeCell ref="A54:B57"/>
    <mergeCell ref="C54:C57"/>
    <mergeCell ref="D54:E57"/>
    <mergeCell ref="G54:H54"/>
    <mergeCell ref="T54:U54"/>
    <mergeCell ref="V54:W54"/>
    <mergeCell ref="G55:H55"/>
    <mergeCell ref="T55:U55"/>
    <mergeCell ref="V55:W55"/>
    <mergeCell ref="G56:H56"/>
    <mergeCell ref="T56:U56"/>
    <mergeCell ref="V56:W56"/>
    <mergeCell ref="G57:H57"/>
    <mergeCell ref="T57:U57"/>
    <mergeCell ref="V57:W57"/>
    <mergeCell ref="A66:B69"/>
    <mergeCell ref="C66:C69"/>
    <mergeCell ref="D66:E69"/>
    <mergeCell ref="G66:H66"/>
    <mergeCell ref="G68:H68"/>
    <mergeCell ref="T66:U66"/>
    <mergeCell ref="V66:W66"/>
    <mergeCell ref="G67:H67"/>
    <mergeCell ref="T67:U67"/>
    <mergeCell ref="V67:W67"/>
    <mergeCell ref="T68:U68"/>
    <mergeCell ref="V68:W68"/>
    <mergeCell ref="G69:H69"/>
    <mergeCell ref="T69:U69"/>
    <mergeCell ref="V69:W69"/>
    <mergeCell ref="A70:B73"/>
    <mergeCell ref="C70:C73"/>
    <mergeCell ref="D70:E73"/>
    <mergeCell ref="G70:H70"/>
    <mergeCell ref="G72:H72"/>
    <mergeCell ref="T70:U70"/>
    <mergeCell ref="V70:W70"/>
    <mergeCell ref="G71:H71"/>
    <mergeCell ref="T71:U71"/>
    <mergeCell ref="V71:W71"/>
    <mergeCell ref="T72:U72"/>
    <mergeCell ref="V72:W72"/>
    <mergeCell ref="G73:H73"/>
    <mergeCell ref="T73:U73"/>
    <mergeCell ref="V73:W73"/>
    <mergeCell ref="A74:B77"/>
    <mergeCell ref="C74:C77"/>
    <mergeCell ref="D74:E77"/>
    <mergeCell ref="G74:H74"/>
    <mergeCell ref="G76:H76"/>
    <mergeCell ref="T74:U74"/>
    <mergeCell ref="V74:W74"/>
    <mergeCell ref="G75:H75"/>
    <mergeCell ref="T75:U75"/>
    <mergeCell ref="V75:W75"/>
    <mergeCell ref="G80:H80"/>
    <mergeCell ref="T80:U80"/>
    <mergeCell ref="V80:W80"/>
    <mergeCell ref="T76:U76"/>
    <mergeCell ref="V76:W76"/>
    <mergeCell ref="G77:H77"/>
    <mergeCell ref="T77:U77"/>
    <mergeCell ref="V77:W77"/>
    <mergeCell ref="V78:W78"/>
    <mergeCell ref="G79:H79"/>
    <mergeCell ref="T79:U79"/>
    <mergeCell ref="V79:W79"/>
    <mergeCell ref="G81:H81"/>
    <mergeCell ref="T81:U81"/>
    <mergeCell ref="V81:W81"/>
    <mergeCell ref="A78:E81"/>
    <mergeCell ref="G78:H78"/>
    <mergeCell ref="T78:U78"/>
  </mergeCells>
  <printOptions horizontalCentered="1"/>
  <pageMargins left="0" right="0" top="0.69" bottom="0.31496062992125984" header="0.1968503937007874" footer="0.15748031496062992"/>
  <pageSetup horizontalDpi="600" verticalDpi="600" orientation="landscape" paperSize="9" r:id="rId1"/>
  <headerFooter alignWithMargins="0">
    <oddHeader>&amp;R&amp;"Arial,Pogrubiony"&amp;6Załącznik Nr 2&amp;"Arial,Normalny"
do Uchwały Nr XXIV/146/2012
Rady Gminy Miłkowice 
z dnia 28 września 2012r.</oddHeader>
    <oddFooter>&amp;C&amp;6Strona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86"/>
  <sheetViews>
    <sheetView zoomScale="83" zoomScaleNormal="83" workbookViewId="0" topLeftCell="A13">
      <selection activeCell="B69" sqref="B69"/>
    </sheetView>
  </sheetViews>
  <sheetFormatPr defaultColWidth="7.33203125" defaultRowHeight="18.75" customHeight="1"/>
  <cols>
    <col min="1" max="1" width="4.66015625" style="180" customWidth="1"/>
    <col min="2" max="2" width="123.66015625" style="180" customWidth="1"/>
    <col min="3" max="3" width="17" style="180" customWidth="1"/>
    <col min="4" max="4" width="15.66015625" style="180" customWidth="1"/>
    <col min="5" max="5" width="16.33203125" style="180" customWidth="1"/>
    <col min="6" max="6" width="15.16015625" style="180" customWidth="1"/>
    <col min="7" max="7" width="13.66015625" style="180" customWidth="1"/>
    <col min="8" max="8" width="0" style="180" hidden="1" customWidth="1"/>
    <col min="9" max="9" width="19.83203125" style="180" customWidth="1"/>
    <col min="10" max="10" width="18.66015625" style="182" customWidth="1"/>
    <col min="11" max="11" width="4.5" style="180" customWidth="1"/>
    <col min="12" max="16384" width="7.33203125" style="180" customWidth="1"/>
  </cols>
  <sheetData>
    <row r="1" spans="1:11" s="32" customFormat="1" ht="21" customHeight="1">
      <c r="A1" s="494" t="s">
        <v>107</v>
      </c>
      <c r="B1" s="494"/>
      <c r="C1" s="494"/>
      <c r="D1" s="494"/>
      <c r="E1" s="494"/>
      <c r="F1" s="494"/>
      <c r="G1" s="494"/>
      <c r="H1" s="494"/>
      <c r="I1" s="494"/>
      <c r="J1" s="494"/>
      <c r="K1" s="31"/>
    </row>
    <row r="2" spans="2:11" s="33" customFormat="1" ht="12" customHeight="1">
      <c r="B2" s="34"/>
      <c r="J2" s="35" t="s">
        <v>0</v>
      </c>
      <c r="K2" s="36"/>
    </row>
    <row r="3" spans="1:11" s="39" customFormat="1" ht="14.25" customHeight="1">
      <c r="A3" s="495" t="s">
        <v>108</v>
      </c>
      <c r="B3" s="496" t="s">
        <v>109</v>
      </c>
      <c r="C3" s="496" t="s">
        <v>453</v>
      </c>
      <c r="D3" s="497" t="s">
        <v>110</v>
      </c>
      <c r="E3" s="497"/>
      <c r="F3" s="497"/>
      <c r="G3" s="497"/>
      <c r="H3" s="37"/>
      <c r="I3" s="37"/>
      <c r="J3" s="498" t="s">
        <v>111</v>
      </c>
      <c r="K3" s="38"/>
    </row>
    <row r="4" spans="1:11" s="39" customFormat="1" ht="14.25" customHeight="1">
      <c r="A4" s="495"/>
      <c r="B4" s="496"/>
      <c r="C4" s="496"/>
      <c r="D4" s="499" t="s">
        <v>112</v>
      </c>
      <c r="E4" s="500" t="s">
        <v>113</v>
      </c>
      <c r="F4" s="500"/>
      <c r="G4" s="500"/>
      <c r="H4" s="40"/>
      <c r="I4" s="40"/>
      <c r="J4" s="498"/>
      <c r="K4" s="38"/>
    </row>
    <row r="5" spans="1:11" s="39" customFormat="1" ht="14.25" customHeight="1">
      <c r="A5" s="495"/>
      <c r="B5" s="496"/>
      <c r="C5" s="496"/>
      <c r="D5" s="499"/>
      <c r="E5" s="501" t="s">
        <v>114</v>
      </c>
      <c r="F5" s="501" t="s">
        <v>115</v>
      </c>
      <c r="G5" s="492" t="s">
        <v>116</v>
      </c>
      <c r="H5" s="41" t="s">
        <v>117</v>
      </c>
      <c r="I5" s="493" t="s">
        <v>118</v>
      </c>
      <c r="J5" s="498"/>
      <c r="K5" s="38"/>
    </row>
    <row r="6" spans="1:11" s="39" customFormat="1" ht="14.25" customHeight="1">
      <c r="A6" s="495"/>
      <c r="B6" s="496"/>
      <c r="C6" s="496"/>
      <c r="D6" s="499"/>
      <c r="E6" s="501"/>
      <c r="F6" s="501"/>
      <c r="G6" s="492"/>
      <c r="H6" s="42"/>
      <c r="I6" s="493"/>
      <c r="J6" s="498"/>
      <c r="K6" s="38"/>
    </row>
    <row r="7" spans="1:11" s="39" customFormat="1" ht="15" customHeight="1">
      <c r="A7" s="495"/>
      <c r="B7" s="496"/>
      <c r="C7" s="496"/>
      <c r="D7" s="499"/>
      <c r="E7" s="501"/>
      <c r="F7" s="501"/>
      <c r="G7" s="492"/>
      <c r="H7" s="42"/>
      <c r="I7" s="493"/>
      <c r="J7" s="498"/>
      <c r="K7" s="38"/>
    </row>
    <row r="8" spans="1:11" s="48" customFormat="1" ht="10.5" customHeight="1">
      <c r="A8" s="43">
        <v>1</v>
      </c>
      <c r="B8" s="44">
        <v>2</v>
      </c>
      <c r="C8" s="44">
        <v>3</v>
      </c>
      <c r="D8" s="44">
        <v>4</v>
      </c>
      <c r="E8" s="45">
        <v>5</v>
      </c>
      <c r="F8" s="45">
        <v>6</v>
      </c>
      <c r="G8" s="45">
        <v>7</v>
      </c>
      <c r="H8" s="45">
        <v>10</v>
      </c>
      <c r="I8" s="45">
        <v>8</v>
      </c>
      <c r="J8" s="46">
        <v>9</v>
      </c>
      <c r="K8" s="47"/>
    </row>
    <row r="9" spans="1:11" s="39" customFormat="1" ht="18" customHeight="1" thickBot="1">
      <c r="A9" s="410" t="s">
        <v>119</v>
      </c>
      <c r="B9" s="411"/>
      <c r="C9" s="49">
        <f>C10+C24</f>
        <v>2304674</v>
      </c>
      <c r="D9" s="49">
        <f>D10+D24</f>
        <v>858173</v>
      </c>
      <c r="E9" s="49">
        <f>E10+E24</f>
        <v>678501</v>
      </c>
      <c r="F9" s="49">
        <f>F10+F24</f>
        <v>640000</v>
      </c>
      <c r="G9" s="49">
        <f>G10+G24</f>
        <v>128000</v>
      </c>
      <c r="H9" s="49" t="e">
        <f>H10+#REF!</f>
        <v>#REF!</v>
      </c>
      <c r="I9" s="50"/>
      <c r="J9" s="51"/>
      <c r="K9" s="38"/>
    </row>
    <row r="10" spans="1:11" s="39" customFormat="1" ht="21.75" customHeight="1" thickBot="1">
      <c r="A10" s="480" t="s">
        <v>120</v>
      </c>
      <c r="B10" s="480"/>
      <c r="C10" s="52">
        <f>SUM(C11:C23)</f>
        <v>1978516</v>
      </c>
      <c r="D10" s="52">
        <f>SUM(D11:D23)</f>
        <v>858173</v>
      </c>
      <c r="E10" s="52">
        <f>SUM(E11:E23)</f>
        <v>480343</v>
      </c>
      <c r="F10" s="52">
        <f>SUM(F11:F23)</f>
        <v>640000</v>
      </c>
      <c r="G10" s="52">
        <f>SUM(G11:G23)</f>
        <v>0</v>
      </c>
      <c r="H10" s="52">
        <f>SUM(H11:H22)</f>
        <v>0</v>
      </c>
      <c r="I10" s="53"/>
      <c r="J10" s="54"/>
      <c r="K10" s="38"/>
    </row>
    <row r="11" spans="1:11" s="39" customFormat="1" ht="43.5" customHeight="1" thickTop="1">
      <c r="A11" s="55">
        <v>1</v>
      </c>
      <c r="B11" s="56" t="s">
        <v>121</v>
      </c>
      <c r="C11" s="57">
        <f aca="true" t="shared" si="0" ref="C11:C16">SUM(D11,E11,F11,G11,I11)</f>
        <v>1462839</v>
      </c>
      <c r="D11" s="58">
        <v>858173</v>
      </c>
      <c r="E11" s="59">
        <f>1505000-F11-D11-42161</f>
        <v>4666</v>
      </c>
      <c r="F11" s="58">
        <v>600000</v>
      </c>
      <c r="G11" s="58"/>
      <c r="H11" s="58"/>
      <c r="I11" s="60" t="s">
        <v>122</v>
      </c>
      <c r="J11" s="405" t="s">
        <v>123</v>
      </c>
      <c r="K11" s="38"/>
    </row>
    <row r="12" spans="1:11" s="39" customFormat="1" ht="20.25" customHeight="1">
      <c r="A12" s="55">
        <v>2</v>
      </c>
      <c r="B12" s="56" t="s">
        <v>124</v>
      </c>
      <c r="C12" s="57">
        <f t="shared" si="0"/>
        <v>80000</v>
      </c>
      <c r="D12" s="58"/>
      <c r="E12" s="59">
        <v>80000</v>
      </c>
      <c r="F12" s="58"/>
      <c r="G12" s="58"/>
      <c r="H12" s="58"/>
      <c r="I12" s="60"/>
      <c r="J12" s="406"/>
      <c r="K12" s="38"/>
    </row>
    <row r="13" spans="1:11" s="39" customFormat="1" ht="30.75" customHeight="1">
      <c r="A13" s="55">
        <v>3</v>
      </c>
      <c r="B13" s="56" t="s">
        <v>125</v>
      </c>
      <c r="C13" s="57">
        <f t="shared" si="0"/>
        <v>23000</v>
      </c>
      <c r="D13" s="58"/>
      <c r="E13" s="59">
        <v>23000</v>
      </c>
      <c r="F13" s="58"/>
      <c r="G13" s="58"/>
      <c r="H13" s="58"/>
      <c r="I13" s="60"/>
      <c r="J13" s="406"/>
      <c r="K13" s="38"/>
    </row>
    <row r="14" spans="1:11" s="39" customFormat="1" ht="19.5" customHeight="1">
      <c r="A14" s="55">
        <v>4</v>
      </c>
      <c r="B14" s="62" t="s">
        <v>126</v>
      </c>
      <c r="C14" s="57">
        <f t="shared" si="0"/>
        <v>107500</v>
      </c>
      <c r="D14" s="57"/>
      <c r="E14" s="57">
        <f>100710+6290+500</f>
        <v>107500</v>
      </c>
      <c r="F14" s="57"/>
      <c r="G14" s="57"/>
      <c r="H14" s="57"/>
      <c r="I14" s="63" t="s">
        <v>452</v>
      </c>
      <c r="J14" s="406"/>
      <c r="K14" s="38"/>
    </row>
    <row r="15" spans="1:11" s="39" customFormat="1" ht="19.5" customHeight="1">
      <c r="A15" s="55">
        <v>5</v>
      </c>
      <c r="B15" s="62" t="s">
        <v>127</v>
      </c>
      <c r="C15" s="57">
        <f t="shared" si="0"/>
        <v>5000</v>
      </c>
      <c r="D15" s="57"/>
      <c r="E15" s="57">
        <f>45000-40000</f>
        <v>5000</v>
      </c>
      <c r="F15" s="57"/>
      <c r="G15" s="57"/>
      <c r="H15" s="57"/>
      <c r="I15" s="64"/>
      <c r="J15" s="406"/>
      <c r="K15" s="38"/>
    </row>
    <row r="16" spans="1:11" s="39" customFormat="1" ht="30" customHeight="1">
      <c r="A16" s="55">
        <v>6</v>
      </c>
      <c r="B16" s="62" t="s">
        <v>128</v>
      </c>
      <c r="C16" s="57">
        <f t="shared" si="0"/>
        <v>55177</v>
      </c>
      <c r="D16" s="57"/>
      <c r="E16" s="57">
        <f>55177-F16</f>
        <v>15177</v>
      </c>
      <c r="F16" s="57">
        <v>40000</v>
      </c>
      <c r="G16" s="57"/>
      <c r="H16" s="57"/>
      <c r="I16" s="60" t="s">
        <v>122</v>
      </c>
      <c r="J16" s="479"/>
      <c r="K16" s="38"/>
    </row>
    <row r="17" spans="1:11" s="39" customFormat="1" ht="21" customHeight="1">
      <c r="A17" s="55">
        <v>7</v>
      </c>
      <c r="B17" s="65" t="s">
        <v>129</v>
      </c>
      <c r="C17" s="57">
        <f>E17</f>
        <v>62000</v>
      </c>
      <c r="D17" s="57"/>
      <c r="E17" s="57">
        <f>87000-25000</f>
        <v>62000</v>
      </c>
      <c r="F17" s="57"/>
      <c r="G17" s="57"/>
      <c r="H17" s="57"/>
      <c r="I17" s="484" t="s">
        <v>130</v>
      </c>
      <c r="J17" s="481" t="s">
        <v>131</v>
      </c>
      <c r="K17" s="38"/>
    </row>
    <row r="18" spans="1:11" s="39" customFormat="1" ht="21" customHeight="1">
      <c r="A18" s="55">
        <v>8</v>
      </c>
      <c r="B18" s="65" t="s">
        <v>132</v>
      </c>
      <c r="C18" s="57">
        <f>E18</f>
        <v>50000</v>
      </c>
      <c r="D18" s="57"/>
      <c r="E18" s="57">
        <f>71000-21000</f>
        <v>50000</v>
      </c>
      <c r="F18" s="57"/>
      <c r="G18" s="57"/>
      <c r="H18" s="57"/>
      <c r="I18" s="471"/>
      <c r="J18" s="482"/>
      <c r="K18" s="38"/>
    </row>
    <row r="19" spans="1:11" s="39" customFormat="1" ht="19.5" customHeight="1">
      <c r="A19" s="55">
        <v>9</v>
      </c>
      <c r="B19" s="65" t="s">
        <v>133</v>
      </c>
      <c r="C19" s="57">
        <v>15000</v>
      </c>
      <c r="D19" s="57"/>
      <c r="E19" s="57">
        <v>15000</v>
      </c>
      <c r="F19" s="57"/>
      <c r="G19" s="57"/>
      <c r="H19" s="57"/>
      <c r="I19" s="471"/>
      <c r="J19" s="482"/>
      <c r="K19" s="38"/>
    </row>
    <row r="20" spans="1:11" s="39" customFormat="1" ht="28.5" customHeight="1">
      <c r="A20" s="55">
        <v>10</v>
      </c>
      <c r="B20" s="62" t="s">
        <v>134</v>
      </c>
      <c r="C20" s="57">
        <f>SUM(D20,E20,F20,G20,I20)</f>
        <v>10000</v>
      </c>
      <c r="D20" s="57"/>
      <c r="E20" s="57">
        <f>30000-20000</f>
        <v>10000</v>
      </c>
      <c r="F20" s="57"/>
      <c r="G20" s="57"/>
      <c r="H20" s="57"/>
      <c r="I20" s="471"/>
      <c r="J20" s="482"/>
      <c r="K20" s="38"/>
    </row>
    <row r="21" spans="1:11" s="39" customFormat="1" ht="19.5" customHeight="1">
      <c r="A21" s="55">
        <v>11</v>
      </c>
      <c r="B21" s="62" t="s">
        <v>206</v>
      </c>
      <c r="C21" s="57">
        <f>SUM(D21,E21,F21,G21,I21)</f>
        <v>28000</v>
      </c>
      <c r="D21" s="57"/>
      <c r="E21" s="57">
        <f>35000-7000</f>
        <v>28000</v>
      </c>
      <c r="F21" s="57"/>
      <c r="G21" s="57"/>
      <c r="H21" s="57"/>
      <c r="I21" s="471"/>
      <c r="J21" s="482"/>
      <c r="K21" s="38"/>
    </row>
    <row r="22" spans="1:11" s="39" customFormat="1" ht="21.75" customHeight="1">
      <c r="A22" s="55">
        <v>12</v>
      </c>
      <c r="B22" s="62" t="s">
        <v>135</v>
      </c>
      <c r="C22" s="57">
        <f>SUM(D22,E22,F22,G22,I22)</f>
        <v>32000</v>
      </c>
      <c r="D22" s="57"/>
      <c r="E22" s="57">
        <v>32000</v>
      </c>
      <c r="F22" s="57"/>
      <c r="G22" s="57"/>
      <c r="H22" s="57"/>
      <c r="I22" s="485"/>
      <c r="J22" s="483"/>
      <c r="K22" s="38"/>
    </row>
    <row r="23" spans="1:11" s="39" customFormat="1" ht="21" customHeight="1">
      <c r="A23" s="55">
        <v>13</v>
      </c>
      <c r="B23" s="66" t="s">
        <v>136</v>
      </c>
      <c r="C23" s="67">
        <f>E23</f>
        <v>48000</v>
      </c>
      <c r="D23" s="67"/>
      <c r="E23" s="68">
        <f>33465+2535+12000</f>
        <v>48000</v>
      </c>
      <c r="F23" s="67"/>
      <c r="G23" s="67"/>
      <c r="H23" s="68"/>
      <c r="I23" s="67"/>
      <c r="J23" s="486" t="s">
        <v>123</v>
      </c>
      <c r="K23" s="38"/>
    </row>
    <row r="24" spans="1:11" s="39" customFormat="1" ht="21.75" customHeight="1" thickBot="1">
      <c r="A24" s="480" t="s">
        <v>137</v>
      </c>
      <c r="B24" s="480"/>
      <c r="C24" s="52">
        <f>C26+C25</f>
        <v>326158</v>
      </c>
      <c r="D24" s="52">
        <f>D26+D25</f>
        <v>0</v>
      </c>
      <c r="E24" s="52">
        <f>E26+E25</f>
        <v>198158</v>
      </c>
      <c r="F24" s="52">
        <f>F26+F25</f>
        <v>0</v>
      </c>
      <c r="G24" s="52">
        <f>G26+G25</f>
        <v>128000</v>
      </c>
      <c r="H24" s="52">
        <f>H26</f>
        <v>0</v>
      </c>
      <c r="I24" s="53"/>
      <c r="J24" s="487"/>
      <c r="K24" s="38"/>
    </row>
    <row r="25" spans="1:11" s="75" customFormat="1" ht="21.75" customHeight="1" thickTop="1">
      <c r="A25" s="70">
        <v>1</v>
      </c>
      <c r="B25" s="71" t="s">
        <v>138</v>
      </c>
      <c r="C25" s="72">
        <f>SUM(D25,E25,F25,G25)</f>
        <v>117558</v>
      </c>
      <c r="D25" s="73"/>
      <c r="E25" s="72">
        <f>117558-G25</f>
        <v>77558</v>
      </c>
      <c r="F25" s="72"/>
      <c r="G25" s="72">
        <v>40000</v>
      </c>
      <c r="H25" s="72"/>
      <c r="I25" s="488" t="s">
        <v>139</v>
      </c>
      <c r="J25" s="405" t="s">
        <v>123</v>
      </c>
      <c r="K25" s="74"/>
    </row>
    <row r="26" spans="1:11" s="75" customFormat="1" ht="21.75" customHeight="1" thickBot="1">
      <c r="A26" s="76">
        <v>2</v>
      </c>
      <c r="B26" s="77" t="s">
        <v>140</v>
      </c>
      <c r="C26" s="78">
        <f>SUM(D26,E26,F26,G26)</f>
        <v>208600</v>
      </c>
      <c r="D26" s="79"/>
      <c r="E26" s="80">
        <f>208600-G26</f>
        <v>120600</v>
      </c>
      <c r="F26" s="80"/>
      <c r="G26" s="80">
        <v>88000</v>
      </c>
      <c r="H26" s="80"/>
      <c r="I26" s="489"/>
      <c r="J26" s="407"/>
      <c r="K26" s="74"/>
    </row>
    <row r="27" spans="1:11" s="39" customFormat="1" ht="29.25" customHeight="1" thickBot="1">
      <c r="A27" s="410" t="s">
        <v>141</v>
      </c>
      <c r="B27" s="411"/>
      <c r="C27" s="49">
        <f aca="true" t="shared" si="1" ref="C27:H27">C28</f>
        <v>35000</v>
      </c>
      <c r="D27" s="49">
        <f t="shared" si="1"/>
        <v>0</v>
      </c>
      <c r="E27" s="49">
        <f t="shared" si="1"/>
        <v>35000</v>
      </c>
      <c r="F27" s="49">
        <f t="shared" si="1"/>
        <v>0</v>
      </c>
      <c r="G27" s="49">
        <f t="shared" si="1"/>
        <v>0</v>
      </c>
      <c r="H27" s="49">
        <f t="shared" si="1"/>
        <v>0</v>
      </c>
      <c r="I27" s="50"/>
      <c r="J27" s="51"/>
      <c r="K27" s="38"/>
    </row>
    <row r="28" spans="1:11" s="39" customFormat="1" ht="21.75" customHeight="1" thickBot="1">
      <c r="A28" s="480" t="s">
        <v>142</v>
      </c>
      <c r="B28" s="480"/>
      <c r="C28" s="52">
        <f>C29</f>
        <v>35000</v>
      </c>
      <c r="D28" s="52">
        <f>SUM(D29:D37)</f>
        <v>0</v>
      </c>
      <c r="E28" s="52">
        <f>E29</f>
        <v>35000</v>
      </c>
      <c r="F28" s="52">
        <f>F29</f>
        <v>0</v>
      </c>
      <c r="G28" s="52">
        <f>G29</f>
        <v>0</v>
      </c>
      <c r="H28" s="52">
        <f>H29</f>
        <v>0</v>
      </c>
      <c r="I28" s="53"/>
      <c r="J28" s="54"/>
      <c r="K28" s="38"/>
    </row>
    <row r="29" spans="1:11" s="39" customFormat="1" ht="28.5" customHeight="1" thickBot="1" thickTop="1">
      <c r="A29" s="55">
        <v>1</v>
      </c>
      <c r="B29" s="56" t="s">
        <v>143</v>
      </c>
      <c r="C29" s="57">
        <f>SUM(D29,E29,F29,G29,I29)</f>
        <v>35000</v>
      </c>
      <c r="D29" s="58"/>
      <c r="E29" s="59">
        <v>35000</v>
      </c>
      <c r="F29" s="58"/>
      <c r="G29" s="58"/>
      <c r="H29" s="58"/>
      <c r="I29" s="82"/>
      <c r="J29" s="69" t="s">
        <v>123</v>
      </c>
      <c r="K29" s="38"/>
    </row>
    <row r="30" spans="1:11" s="39" customFormat="1" ht="18" customHeight="1" thickBot="1">
      <c r="A30" s="490" t="s">
        <v>144</v>
      </c>
      <c r="B30" s="490"/>
      <c r="C30" s="83">
        <f>C36+C31</f>
        <v>222157</v>
      </c>
      <c r="D30" s="83">
        <f>D36+D31</f>
        <v>0</v>
      </c>
      <c r="E30" s="83">
        <f>E36+E31</f>
        <v>197157</v>
      </c>
      <c r="F30" s="83">
        <f>F36+F31</f>
        <v>0</v>
      </c>
      <c r="G30" s="83">
        <f>G36+G31</f>
        <v>25000</v>
      </c>
      <c r="H30" s="83" t="e">
        <f>H36+#REF!</f>
        <v>#REF!</v>
      </c>
      <c r="I30" s="84"/>
      <c r="J30" s="85"/>
      <c r="K30" s="38"/>
    </row>
    <row r="31" spans="1:11" s="39" customFormat="1" ht="21.75" customHeight="1" thickBot="1">
      <c r="A31" s="480" t="s">
        <v>145</v>
      </c>
      <c r="B31" s="480"/>
      <c r="C31" s="52">
        <f>SUM(C32:C35)</f>
        <v>205000</v>
      </c>
      <c r="D31" s="52">
        <f>SUM(D32:D35)</f>
        <v>0</v>
      </c>
      <c r="E31" s="52">
        <f>SUM(E32:E35)</f>
        <v>180000</v>
      </c>
      <c r="F31" s="52">
        <f>F32</f>
        <v>0</v>
      </c>
      <c r="G31" s="52">
        <f>G32</f>
        <v>25000</v>
      </c>
      <c r="H31" s="52">
        <f>SUM(H37:H37)</f>
        <v>0</v>
      </c>
      <c r="I31" s="53"/>
      <c r="J31" s="54"/>
      <c r="K31" s="38"/>
    </row>
    <row r="32" spans="1:11" s="75" customFormat="1" ht="30.75" customHeight="1" thickTop="1">
      <c r="A32" s="86">
        <v>1</v>
      </c>
      <c r="B32" s="87" t="s">
        <v>146</v>
      </c>
      <c r="C32" s="88">
        <f>D32+E32+F32+G32</f>
        <v>87000</v>
      </c>
      <c r="D32" s="89"/>
      <c r="E32" s="90">
        <f>25000+17000+20000</f>
        <v>62000</v>
      </c>
      <c r="F32" s="90"/>
      <c r="G32" s="90">
        <v>25000</v>
      </c>
      <c r="H32" s="90"/>
      <c r="I32" s="91" t="s">
        <v>147</v>
      </c>
      <c r="J32" s="405" t="s">
        <v>123</v>
      </c>
      <c r="K32" s="74"/>
    </row>
    <row r="33" spans="1:11" s="75" customFormat="1" ht="22.5" customHeight="1">
      <c r="A33" s="86">
        <v>2</v>
      </c>
      <c r="B33" s="87" t="s">
        <v>148</v>
      </c>
      <c r="C33" s="88">
        <f>D33+E33+F33+G33+I33</f>
        <v>13000</v>
      </c>
      <c r="D33" s="89"/>
      <c r="E33" s="90">
        <f>20000-7000</f>
        <v>13000</v>
      </c>
      <c r="F33" s="90"/>
      <c r="G33" s="90"/>
      <c r="H33" s="90"/>
      <c r="I33" s="82"/>
      <c r="J33" s="406"/>
      <c r="K33" s="74"/>
    </row>
    <row r="34" spans="1:11" s="75" customFormat="1" ht="22.5" customHeight="1">
      <c r="A34" s="86">
        <v>3</v>
      </c>
      <c r="B34" s="87" t="s">
        <v>149</v>
      </c>
      <c r="C34" s="88">
        <f>D34+E34+F34+G34+I34</f>
        <v>5000</v>
      </c>
      <c r="D34" s="89"/>
      <c r="E34" s="90">
        <f>20000-15000</f>
        <v>5000</v>
      </c>
      <c r="F34" s="90"/>
      <c r="G34" s="90"/>
      <c r="H34" s="90"/>
      <c r="I34" s="92"/>
      <c r="J34" s="407"/>
      <c r="K34" s="74"/>
    </row>
    <row r="35" spans="1:11" s="75" customFormat="1" ht="30" customHeight="1">
      <c r="A35" s="86">
        <v>4</v>
      </c>
      <c r="B35" s="87" t="s">
        <v>150</v>
      </c>
      <c r="C35" s="88">
        <f>D35+E35+F35+G35+I35</f>
        <v>100000</v>
      </c>
      <c r="D35" s="89"/>
      <c r="E35" s="90">
        <v>100000</v>
      </c>
      <c r="F35" s="90"/>
      <c r="G35" s="90"/>
      <c r="H35" s="90"/>
      <c r="I35" s="92"/>
      <c r="J35" s="93" t="s">
        <v>151</v>
      </c>
      <c r="K35" s="74"/>
    </row>
    <row r="36" spans="1:11" s="39" customFormat="1" ht="21.75" customHeight="1" thickBot="1">
      <c r="A36" s="480" t="s">
        <v>152</v>
      </c>
      <c r="B36" s="480"/>
      <c r="C36" s="52">
        <f>SUM(C37:C38)</f>
        <v>17157</v>
      </c>
      <c r="D36" s="52">
        <f>SUM(D37:D38)</f>
        <v>0</v>
      </c>
      <c r="E36" s="52">
        <f>SUM(E37:E38)</f>
        <v>17157</v>
      </c>
      <c r="F36" s="52">
        <f>SUM(F37:F38)</f>
        <v>0</v>
      </c>
      <c r="G36" s="52">
        <f>SUM(G37:G38)</f>
        <v>0</v>
      </c>
      <c r="H36" s="52">
        <f>SUM(H38:H38)</f>
        <v>0</v>
      </c>
      <c r="I36" s="53"/>
      <c r="J36" s="54"/>
      <c r="K36" s="38"/>
    </row>
    <row r="37" spans="1:11" s="75" customFormat="1" ht="21.75" customHeight="1" thickTop="1">
      <c r="A37" s="94">
        <v>1</v>
      </c>
      <c r="B37" s="77" t="s">
        <v>153</v>
      </c>
      <c r="C37" s="80">
        <f>SUM(D37,E37,F37,G37,J7)</f>
        <v>6157</v>
      </c>
      <c r="D37" s="79"/>
      <c r="E37" s="80">
        <v>6157</v>
      </c>
      <c r="F37" s="80"/>
      <c r="G37" s="80"/>
      <c r="H37" s="80"/>
      <c r="I37" s="95"/>
      <c r="J37" s="406" t="s">
        <v>123</v>
      </c>
      <c r="K37" s="74"/>
    </row>
    <row r="38" spans="1:11" s="75" customFormat="1" ht="21.75" customHeight="1" thickBot="1">
      <c r="A38" s="96">
        <v>2</v>
      </c>
      <c r="B38" s="97" t="s">
        <v>154</v>
      </c>
      <c r="C38" s="98">
        <f>E38</f>
        <v>11000</v>
      </c>
      <c r="D38" s="99"/>
      <c r="E38" s="98">
        <f>15000-4000</f>
        <v>11000</v>
      </c>
      <c r="F38" s="98"/>
      <c r="G38" s="98"/>
      <c r="H38" s="98"/>
      <c r="I38" s="98"/>
      <c r="J38" s="406"/>
      <c r="K38" s="74"/>
    </row>
    <row r="39" spans="1:11" s="39" customFormat="1" ht="29.25" customHeight="1" thickBot="1">
      <c r="A39" s="410" t="s">
        <v>155</v>
      </c>
      <c r="B39" s="411"/>
      <c r="C39" s="49">
        <f aca="true" t="shared" si="2" ref="C39:H39">C40</f>
        <v>20000</v>
      </c>
      <c r="D39" s="49">
        <f t="shared" si="2"/>
        <v>0</v>
      </c>
      <c r="E39" s="49">
        <f t="shared" si="2"/>
        <v>20000</v>
      </c>
      <c r="F39" s="49">
        <f t="shared" si="2"/>
        <v>0</v>
      </c>
      <c r="G39" s="49">
        <f t="shared" si="2"/>
        <v>0</v>
      </c>
      <c r="H39" s="49">
        <f t="shared" si="2"/>
        <v>0</v>
      </c>
      <c r="I39" s="50"/>
      <c r="J39" s="51"/>
      <c r="K39" s="38"/>
    </row>
    <row r="40" spans="1:11" s="39" customFormat="1" ht="21.75" customHeight="1">
      <c r="A40" s="491" t="s">
        <v>156</v>
      </c>
      <c r="B40" s="491"/>
      <c r="C40" s="418">
        <f>C41</f>
        <v>20000</v>
      </c>
      <c r="D40" s="418">
        <f>SUM(D41:D50)</f>
        <v>0</v>
      </c>
      <c r="E40" s="418">
        <f>E41</f>
        <v>20000</v>
      </c>
      <c r="F40" s="418">
        <f>F41</f>
        <v>0</v>
      </c>
      <c r="G40" s="418">
        <f>G41</f>
        <v>0</v>
      </c>
      <c r="H40" s="418">
        <f>H41</f>
        <v>0</v>
      </c>
      <c r="I40" s="419"/>
      <c r="J40" s="420"/>
      <c r="K40" s="38"/>
    </row>
    <row r="41" spans="1:11" s="39" customFormat="1" ht="28.5" customHeight="1" thickBot="1">
      <c r="A41" s="402">
        <v>1</v>
      </c>
      <c r="B41" s="403" t="s">
        <v>157</v>
      </c>
      <c r="C41" s="414">
        <f>SUM(D41,E41,F41,G41,I41)</f>
        <v>20000</v>
      </c>
      <c r="D41" s="414"/>
      <c r="E41" s="415">
        <v>20000</v>
      </c>
      <c r="F41" s="414"/>
      <c r="G41" s="414"/>
      <c r="H41" s="414"/>
      <c r="I41" s="416"/>
      <c r="J41" s="417" t="s">
        <v>123</v>
      </c>
      <c r="K41" s="38"/>
    </row>
    <row r="42" spans="1:11" s="104" customFormat="1" ht="21.75" customHeight="1" thickBot="1">
      <c r="A42" s="468" t="s">
        <v>158</v>
      </c>
      <c r="B42" s="469"/>
      <c r="C42" s="100">
        <f>C43+C49</f>
        <v>66530.18</v>
      </c>
      <c r="D42" s="100">
        <f>D43+D49</f>
        <v>0</v>
      </c>
      <c r="E42" s="100">
        <f>E43+E49</f>
        <v>66530.18</v>
      </c>
      <c r="F42" s="101">
        <f>F43</f>
        <v>0</v>
      </c>
      <c r="G42" s="101">
        <f>G43</f>
        <v>0</v>
      </c>
      <c r="H42" s="101">
        <f>H43</f>
        <v>0</v>
      </c>
      <c r="I42" s="101"/>
      <c r="J42" s="102"/>
      <c r="K42" s="103"/>
    </row>
    <row r="43" spans="1:11" s="104" customFormat="1" ht="21.75" customHeight="1" thickBot="1">
      <c r="A43" s="409" t="s">
        <v>159</v>
      </c>
      <c r="B43" s="409"/>
      <c r="C43" s="105">
        <f>C44+C45+C46+C48+C47</f>
        <v>45772.59</v>
      </c>
      <c r="D43" s="105">
        <f>D44+D45+D46+D48+D47</f>
        <v>0</v>
      </c>
      <c r="E43" s="105">
        <f>E44+E45+E46+E48+E47</f>
        <v>45772.59</v>
      </c>
      <c r="F43" s="105">
        <f>F44+F45+F46+F48+F47</f>
        <v>0</v>
      </c>
      <c r="G43" s="105">
        <f>G44+G45+G46+G48+G47</f>
        <v>0</v>
      </c>
      <c r="H43" s="106">
        <f>H44+H48</f>
        <v>0</v>
      </c>
      <c r="I43" s="106"/>
      <c r="J43" s="107"/>
      <c r="K43" s="103"/>
    </row>
    <row r="44" spans="1:11" s="39" customFormat="1" ht="23.25" customHeight="1" thickTop="1">
      <c r="A44" s="108">
        <v>1</v>
      </c>
      <c r="B44" s="109" t="s">
        <v>160</v>
      </c>
      <c r="C44" s="110">
        <f>D44+E44+F44</f>
        <v>8215</v>
      </c>
      <c r="D44" s="110"/>
      <c r="E44" s="110">
        <v>8215</v>
      </c>
      <c r="F44" s="110"/>
      <c r="G44" s="110"/>
      <c r="H44" s="110"/>
      <c r="I44" s="470" t="s">
        <v>161</v>
      </c>
      <c r="J44" s="111" t="s">
        <v>162</v>
      </c>
      <c r="K44" s="38"/>
    </row>
    <row r="45" spans="1:11" s="39" customFormat="1" ht="23.25" customHeight="1">
      <c r="A45" s="112">
        <v>2</v>
      </c>
      <c r="B45" s="113" t="s">
        <v>163</v>
      </c>
      <c r="C45" s="114">
        <f>D45+E45+F45</f>
        <v>8000</v>
      </c>
      <c r="D45" s="58"/>
      <c r="E45" s="58">
        <v>8000</v>
      </c>
      <c r="F45" s="58"/>
      <c r="G45" s="58"/>
      <c r="H45" s="58"/>
      <c r="I45" s="471"/>
      <c r="J45" s="115" t="s">
        <v>162</v>
      </c>
      <c r="K45" s="38"/>
    </row>
    <row r="46" spans="1:11" s="39" customFormat="1" ht="23.25" customHeight="1">
      <c r="A46" s="112">
        <v>3</v>
      </c>
      <c r="B46" s="113" t="s">
        <v>164</v>
      </c>
      <c r="C46" s="116">
        <f>D46+E46+F46</f>
        <v>4000</v>
      </c>
      <c r="D46" s="58"/>
      <c r="E46" s="58">
        <v>4000</v>
      </c>
      <c r="F46" s="58"/>
      <c r="G46" s="58"/>
      <c r="H46" s="58"/>
      <c r="I46" s="471"/>
      <c r="J46" s="81" t="s">
        <v>165</v>
      </c>
      <c r="K46" s="38"/>
    </row>
    <row r="47" spans="1:11" s="39" customFormat="1" ht="23.25" customHeight="1">
      <c r="A47" s="112">
        <v>4</v>
      </c>
      <c r="B47" s="113" t="s">
        <v>166</v>
      </c>
      <c r="C47" s="117">
        <f>D47+E47+F47</f>
        <v>20757.59</v>
      </c>
      <c r="D47" s="118"/>
      <c r="E47" s="118">
        <v>20757.59</v>
      </c>
      <c r="F47" s="58"/>
      <c r="G47" s="58"/>
      <c r="H47" s="58"/>
      <c r="I47" s="471"/>
      <c r="J47" s="81" t="s">
        <v>165</v>
      </c>
      <c r="K47" s="38"/>
    </row>
    <row r="48" spans="1:11" s="39" customFormat="1" ht="23.25" customHeight="1">
      <c r="A48" s="112">
        <v>5</v>
      </c>
      <c r="B48" s="113" t="s">
        <v>454</v>
      </c>
      <c r="C48" s="116">
        <f>D48+E48+F48</f>
        <v>4800</v>
      </c>
      <c r="D48" s="58"/>
      <c r="E48" s="58">
        <v>4800</v>
      </c>
      <c r="F48" s="58"/>
      <c r="G48" s="58"/>
      <c r="H48" s="58"/>
      <c r="I48" s="472"/>
      <c r="J48" s="81" t="s">
        <v>204</v>
      </c>
      <c r="K48" s="38"/>
    </row>
    <row r="49" spans="1:11" s="104" customFormat="1" ht="21.75" customHeight="1" thickBot="1">
      <c r="A49" s="408" t="s">
        <v>167</v>
      </c>
      <c r="B49" s="409"/>
      <c r="C49" s="105">
        <f>C50</f>
        <v>20757.59</v>
      </c>
      <c r="D49" s="105">
        <f>D51+D54+D52</f>
        <v>0</v>
      </c>
      <c r="E49" s="105">
        <f>E50</f>
        <v>20757.59</v>
      </c>
      <c r="F49" s="106">
        <f>F51+F54</f>
        <v>0</v>
      </c>
      <c r="G49" s="106">
        <f>G51+G54</f>
        <v>0</v>
      </c>
      <c r="H49" s="106">
        <f>H51+H54</f>
        <v>0</v>
      </c>
      <c r="I49" s="106"/>
      <c r="J49" s="107"/>
      <c r="K49" s="103"/>
    </row>
    <row r="50" spans="1:11" s="39" customFormat="1" ht="23.25" customHeight="1" thickBot="1" thickTop="1">
      <c r="A50" s="119">
        <v>1</v>
      </c>
      <c r="B50" s="120" t="s">
        <v>168</v>
      </c>
      <c r="C50" s="117">
        <f>D50+E50+F50</f>
        <v>20757.59</v>
      </c>
      <c r="D50" s="118"/>
      <c r="E50" s="118">
        <v>20757.59</v>
      </c>
      <c r="F50" s="58"/>
      <c r="G50" s="58"/>
      <c r="H50" s="58"/>
      <c r="I50" s="121" t="s">
        <v>169</v>
      </c>
      <c r="J50" s="81" t="s">
        <v>170</v>
      </c>
      <c r="K50" s="38"/>
    </row>
    <row r="51" spans="1:11" s="104" customFormat="1" ht="21.75" customHeight="1" thickBot="1">
      <c r="A51" s="468" t="s">
        <v>171</v>
      </c>
      <c r="B51" s="469"/>
      <c r="C51" s="101">
        <f aca="true" t="shared" si="3" ref="C51:I51">C52</f>
        <v>45000</v>
      </c>
      <c r="D51" s="101">
        <f t="shared" si="3"/>
        <v>0</v>
      </c>
      <c r="E51" s="101">
        <f t="shared" si="3"/>
        <v>45000</v>
      </c>
      <c r="F51" s="101">
        <f t="shared" si="3"/>
        <v>0</v>
      </c>
      <c r="G51" s="101">
        <f t="shared" si="3"/>
        <v>0</v>
      </c>
      <c r="H51" s="101">
        <f t="shared" si="3"/>
        <v>0</v>
      </c>
      <c r="I51" s="101">
        <f t="shared" si="3"/>
        <v>0</v>
      </c>
      <c r="J51" s="102"/>
      <c r="K51" s="103"/>
    </row>
    <row r="52" spans="1:11" s="104" customFormat="1" ht="21.75" customHeight="1" thickBot="1">
      <c r="A52" s="409" t="s">
        <v>172</v>
      </c>
      <c r="B52" s="409"/>
      <c r="C52" s="106">
        <f aca="true" t="shared" si="4" ref="C52:I52">C53+C54</f>
        <v>45000</v>
      </c>
      <c r="D52" s="106">
        <f t="shared" si="4"/>
        <v>0</v>
      </c>
      <c r="E52" s="106">
        <f t="shared" si="4"/>
        <v>45000</v>
      </c>
      <c r="F52" s="106">
        <f t="shared" si="4"/>
        <v>0</v>
      </c>
      <c r="G52" s="106">
        <f t="shared" si="4"/>
        <v>0</v>
      </c>
      <c r="H52" s="106">
        <f t="shared" si="4"/>
        <v>0</v>
      </c>
      <c r="I52" s="106">
        <f t="shared" si="4"/>
        <v>0</v>
      </c>
      <c r="J52" s="107"/>
      <c r="K52" s="103"/>
    </row>
    <row r="53" spans="1:11" s="39" customFormat="1" ht="21" customHeight="1" thickTop="1">
      <c r="A53" s="122">
        <v>1</v>
      </c>
      <c r="B53" s="123" t="s">
        <v>173</v>
      </c>
      <c r="C53" s="124">
        <f>D53+E53+F53+G53+I53</f>
        <v>30000</v>
      </c>
      <c r="D53" s="124"/>
      <c r="E53" s="124">
        <v>30000</v>
      </c>
      <c r="F53" s="124"/>
      <c r="G53" s="124"/>
      <c r="H53" s="124"/>
      <c r="I53" s="125"/>
      <c r="J53" s="111" t="s">
        <v>174</v>
      </c>
      <c r="K53" s="38"/>
    </row>
    <row r="54" spans="1:11" s="39" customFormat="1" ht="21" customHeight="1" thickBot="1">
      <c r="A54" s="112">
        <v>2</v>
      </c>
      <c r="B54" s="113" t="s">
        <v>175</v>
      </c>
      <c r="C54" s="58">
        <f>SUM(D54,E54,F54,G54,J54)</f>
        <v>15000</v>
      </c>
      <c r="D54" s="58"/>
      <c r="E54" s="58">
        <v>15000</v>
      </c>
      <c r="F54" s="58"/>
      <c r="G54" s="58"/>
      <c r="H54" s="58"/>
      <c r="I54" s="126"/>
      <c r="J54" s="61" t="s">
        <v>204</v>
      </c>
      <c r="K54" s="38"/>
    </row>
    <row r="55" spans="1:11" s="39" customFormat="1" ht="23.25" customHeight="1" thickBot="1">
      <c r="A55" s="490" t="s">
        <v>176</v>
      </c>
      <c r="B55" s="490"/>
      <c r="C55" s="83">
        <f>C56+C58+C60</f>
        <v>36000</v>
      </c>
      <c r="D55" s="83">
        <f>D56+D58+D60</f>
        <v>0</v>
      </c>
      <c r="E55" s="83">
        <f>E56+E58+E60</f>
        <v>36000</v>
      </c>
      <c r="F55" s="83">
        <f>F56+F58+F60</f>
        <v>0</v>
      </c>
      <c r="G55" s="83">
        <f>G56+G58+G60</f>
        <v>0</v>
      </c>
      <c r="H55" s="83">
        <f>H56+H58</f>
        <v>0</v>
      </c>
      <c r="I55" s="83"/>
      <c r="J55" s="127"/>
      <c r="K55" s="38"/>
    </row>
    <row r="56" spans="1:11" s="75" customFormat="1" ht="20.25" customHeight="1" thickBot="1">
      <c r="A56" s="476" t="s">
        <v>177</v>
      </c>
      <c r="B56" s="476"/>
      <c r="C56" s="128">
        <f>C57</f>
        <v>8000</v>
      </c>
      <c r="D56" s="128">
        <f>D57</f>
        <v>0</v>
      </c>
      <c r="E56" s="128">
        <f>E57</f>
        <v>8000</v>
      </c>
      <c r="F56" s="128">
        <f>F57</f>
        <v>0</v>
      </c>
      <c r="G56" s="128">
        <f>G57</f>
        <v>0</v>
      </c>
      <c r="H56" s="128"/>
      <c r="I56" s="129"/>
      <c r="J56" s="130"/>
      <c r="K56" s="74"/>
    </row>
    <row r="57" spans="1:13" s="75" customFormat="1" ht="24" customHeight="1" thickBot="1" thickTop="1">
      <c r="A57" s="131">
        <v>1</v>
      </c>
      <c r="B57" s="132" t="s">
        <v>178</v>
      </c>
      <c r="C57" s="133">
        <f>SUM(D57,E57,F57,G57)</f>
        <v>8000</v>
      </c>
      <c r="D57" s="90"/>
      <c r="E57" s="134">
        <v>8000</v>
      </c>
      <c r="F57" s="90"/>
      <c r="G57" s="90"/>
      <c r="H57" s="133">
        <v>26400</v>
      </c>
      <c r="I57" s="121" t="s">
        <v>169</v>
      </c>
      <c r="J57" s="135" t="s">
        <v>131</v>
      </c>
      <c r="K57" s="74"/>
      <c r="M57" s="136"/>
    </row>
    <row r="58" spans="1:11" s="39" customFormat="1" ht="18.75" customHeight="1" thickBot="1">
      <c r="A58" s="475" t="s">
        <v>179</v>
      </c>
      <c r="B58" s="475"/>
      <c r="C58" s="137">
        <f>SUM(C59:C59)</f>
        <v>5000</v>
      </c>
      <c r="D58" s="137">
        <f>SUM(D59:D59)</f>
        <v>0</v>
      </c>
      <c r="E58" s="137">
        <f>SUM(E59:E59)</f>
        <v>5000</v>
      </c>
      <c r="F58" s="137">
        <f>F59</f>
        <v>0</v>
      </c>
      <c r="G58" s="137">
        <f>G59</f>
        <v>0</v>
      </c>
      <c r="H58" s="137"/>
      <c r="I58" s="138"/>
      <c r="J58" s="139"/>
      <c r="K58" s="38"/>
    </row>
    <row r="59" spans="1:11" s="39" customFormat="1" ht="21.75" customHeight="1" thickBot="1" thickTop="1">
      <c r="A59" s="55">
        <v>1</v>
      </c>
      <c r="B59" s="65" t="s">
        <v>180</v>
      </c>
      <c r="C59" s="58">
        <f>SUM(D59,E59,F59,G59)</f>
        <v>5000</v>
      </c>
      <c r="D59" s="58"/>
      <c r="E59" s="59">
        <v>5000</v>
      </c>
      <c r="F59" s="58"/>
      <c r="G59" s="58"/>
      <c r="H59" s="58">
        <v>26400</v>
      </c>
      <c r="I59" s="140"/>
      <c r="J59" s="61" t="s">
        <v>204</v>
      </c>
      <c r="K59" s="38"/>
    </row>
    <row r="60" spans="1:11" s="39" customFormat="1" ht="18.75" customHeight="1" thickBot="1">
      <c r="A60" s="475" t="s">
        <v>181</v>
      </c>
      <c r="B60" s="475"/>
      <c r="C60" s="137">
        <f>SUM(C61:C61)</f>
        <v>23000</v>
      </c>
      <c r="D60" s="137">
        <f>SUM(D61:D61)</f>
        <v>0</v>
      </c>
      <c r="E60" s="137">
        <f>SUM(E61:E61)</f>
        <v>23000</v>
      </c>
      <c r="F60" s="137">
        <f>F61</f>
        <v>0</v>
      </c>
      <c r="G60" s="137">
        <f>G61</f>
        <v>0</v>
      </c>
      <c r="H60" s="137"/>
      <c r="I60" s="138"/>
      <c r="J60" s="139"/>
      <c r="K60" s="38"/>
    </row>
    <row r="61" spans="1:11" s="39" customFormat="1" ht="21.75" customHeight="1" thickBot="1" thickTop="1">
      <c r="A61" s="55">
        <v>1</v>
      </c>
      <c r="B61" s="65" t="s">
        <v>207</v>
      </c>
      <c r="C61" s="58">
        <f>SUM(D61,E61,F61,G61)</f>
        <v>23000</v>
      </c>
      <c r="D61" s="58"/>
      <c r="E61" s="59">
        <f>50000-10000-15000-2000</f>
        <v>23000</v>
      </c>
      <c r="F61" s="58"/>
      <c r="G61" s="58"/>
      <c r="H61" s="58">
        <v>26400</v>
      </c>
      <c r="I61" s="140"/>
      <c r="J61" s="61" t="s">
        <v>204</v>
      </c>
      <c r="K61" s="38"/>
    </row>
    <row r="62" spans="1:11" s="104" customFormat="1" ht="26.25" customHeight="1" thickBot="1">
      <c r="A62" s="477" t="s">
        <v>182</v>
      </c>
      <c r="B62" s="477"/>
      <c r="C62" s="141">
        <f aca="true" t="shared" si="5" ref="C62:I62">C63+C71</f>
        <v>446501</v>
      </c>
      <c r="D62" s="141">
        <f t="shared" si="5"/>
        <v>56764</v>
      </c>
      <c r="E62" s="141">
        <f t="shared" si="5"/>
        <v>389737</v>
      </c>
      <c r="F62" s="141">
        <f t="shared" si="5"/>
        <v>0</v>
      </c>
      <c r="G62" s="141">
        <f t="shared" si="5"/>
        <v>0</v>
      </c>
      <c r="H62" s="141">
        <f t="shared" si="5"/>
        <v>0</v>
      </c>
      <c r="I62" s="141">
        <f t="shared" si="5"/>
        <v>0</v>
      </c>
      <c r="J62" s="127"/>
      <c r="K62" s="103"/>
    </row>
    <row r="63" spans="1:11" s="104" customFormat="1" ht="18.75" customHeight="1" thickBot="1">
      <c r="A63" s="478" t="s">
        <v>183</v>
      </c>
      <c r="B63" s="478"/>
      <c r="C63" s="142">
        <f>C64+C65+C66+C68+C69+C70</f>
        <v>420001</v>
      </c>
      <c r="D63" s="142">
        <f aca="true" t="shared" si="6" ref="D63:I63">SUM(D64:D70)</f>
        <v>56764</v>
      </c>
      <c r="E63" s="142">
        <f t="shared" si="6"/>
        <v>363237</v>
      </c>
      <c r="F63" s="142">
        <f t="shared" si="6"/>
        <v>0</v>
      </c>
      <c r="G63" s="142">
        <f t="shared" si="6"/>
        <v>0</v>
      </c>
      <c r="H63" s="142">
        <f t="shared" si="6"/>
        <v>0</v>
      </c>
      <c r="I63" s="142">
        <f t="shared" si="6"/>
        <v>0</v>
      </c>
      <c r="J63" s="143"/>
      <c r="K63" s="103"/>
    </row>
    <row r="64" spans="1:11" s="39" customFormat="1" ht="20.25" customHeight="1" thickTop="1">
      <c r="A64" s="55">
        <v>1</v>
      </c>
      <c r="B64" s="65" t="s">
        <v>184</v>
      </c>
      <c r="C64" s="58">
        <f>SUM(D64,E64,F64,G64)</f>
        <v>18825</v>
      </c>
      <c r="D64" s="58"/>
      <c r="E64" s="58">
        <f>13825+5000</f>
        <v>18825</v>
      </c>
      <c r="F64" s="58"/>
      <c r="G64" s="58"/>
      <c r="H64" s="58"/>
      <c r="I64" s="126"/>
      <c r="J64" s="405" t="s">
        <v>123</v>
      </c>
      <c r="K64" s="38"/>
    </row>
    <row r="65" spans="1:11" s="39" customFormat="1" ht="20.25" customHeight="1">
      <c r="A65" s="144">
        <v>2</v>
      </c>
      <c r="B65" s="65" t="s">
        <v>185</v>
      </c>
      <c r="C65" s="58">
        <f aca="true" t="shared" si="7" ref="C65:C70">SUM(D65,E65,F65,G65,J65)</f>
        <v>74486</v>
      </c>
      <c r="D65" s="57"/>
      <c r="E65" s="57">
        <f>100000-65000+15000-8000-2800+35286</f>
        <v>74486</v>
      </c>
      <c r="F65" s="57"/>
      <c r="G65" s="57"/>
      <c r="H65" s="57"/>
      <c r="I65" s="145"/>
      <c r="J65" s="406"/>
      <c r="K65" s="38"/>
    </row>
    <row r="66" spans="1:11" s="39" customFormat="1" ht="20.25" customHeight="1">
      <c r="A66" s="55">
        <v>3</v>
      </c>
      <c r="B66" s="65" t="s">
        <v>186</v>
      </c>
      <c r="C66" s="58">
        <f t="shared" si="7"/>
        <v>17000</v>
      </c>
      <c r="D66" s="57"/>
      <c r="E66" s="57">
        <f>20000-3000</f>
        <v>17000</v>
      </c>
      <c r="F66" s="57"/>
      <c r="G66" s="57"/>
      <c r="H66" s="57"/>
      <c r="I66" s="145"/>
      <c r="J66" s="406"/>
      <c r="K66" s="38"/>
    </row>
    <row r="67" spans="1:11" s="39" customFormat="1" ht="19.5" customHeight="1" hidden="1">
      <c r="A67" s="144">
        <v>4</v>
      </c>
      <c r="B67" s="65" t="s">
        <v>187</v>
      </c>
      <c r="C67" s="58">
        <f t="shared" si="7"/>
        <v>0</v>
      </c>
      <c r="D67" s="58"/>
      <c r="E67" s="58">
        <f>11526*0</f>
        <v>0</v>
      </c>
      <c r="F67" s="58"/>
      <c r="G67" s="58"/>
      <c r="H67" s="58"/>
      <c r="I67" s="126"/>
      <c r="J67" s="406"/>
      <c r="K67" s="38"/>
    </row>
    <row r="68" spans="1:11" s="39" customFormat="1" ht="21.75" customHeight="1">
      <c r="A68" s="144">
        <v>4</v>
      </c>
      <c r="B68" s="65" t="s">
        <v>188</v>
      </c>
      <c r="C68" s="58">
        <f t="shared" si="7"/>
        <v>200800</v>
      </c>
      <c r="D68" s="58"/>
      <c r="E68" s="58">
        <f>190000+8000+2800</f>
        <v>200800</v>
      </c>
      <c r="F68" s="58"/>
      <c r="G68" s="58"/>
      <c r="H68" s="58"/>
      <c r="I68" s="126"/>
      <c r="J68" s="406"/>
      <c r="K68" s="38"/>
    </row>
    <row r="69" spans="1:11" s="39" customFormat="1" ht="21.75" customHeight="1">
      <c r="A69" s="144">
        <v>5</v>
      </c>
      <c r="B69" s="65" t="s">
        <v>455</v>
      </c>
      <c r="C69" s="58">
        <f t="shared" si="7"/>
        <v>22075</v>
      </c>
      <c r="D69" s="58"/>
      <c r="E69" s="58">
        <f>10000+24000-16000+6875-2800</f>
        <v>22075</v>
      </c>
      <c r="F69" s="58"/>
      <c r="G69" s="58"/>
      <c r="H69" s="58"/>
      <c r="I69" s="126"/>
      <c r="J69" s="407"/>
      <c r="K69" s="38"/>
    </row>
    <row r="70" spans="1:11" s="39" customFormat="1" ht="23.25" customHeight="1" thickBot="1">
      <c r="A70" s="144">
        <v>6</v>
      </c>
      <c r="B70" s="65" t="s">
        <v>189</v>
      </c>
      <c r="C70" s="58">
        <f t="shared" si="7"/>
        <v>86815</v>
      </c>
      <c r="D70" s="58">
        <f>96025-39261</f>
        <v>56764</v>
      </c>
      <c r="E70" s="58">
        <f>60717-30666</f>
        <v>30051</v>
      </c>
      <c r="F70" s="58"/>
      <c r="G70" s="58"/>
      <c r="H70" s="58"/>
      <c r="I70" s="121" t="s">
        <v>190</v>
      </c>
      <c r="J70" s="146" t="s">
        <v>191</v>
      </c>
      <c r="K70" s="38"/>
    </row>
    <row r="71" spans="1:11" s="104" customFormat="1" ht="23.25" customHeight="1" thickBot="1">
      <c r="A71" s="474" t="s">
        <v>192</v>
      </c>
      <c r="B71" s="474"/>
      <c r="C71" s="142">
        <f aca="true" t="shared" si="8" ref="C71:I71">SUM(C72:C75)</f>
        <v>26500</v>
      </c>
      <c r="D71" s="142">
        <f t="shared" si="8"/>
        <v>0</v>
      </c>
      <c r="E71" s="142">
        <f t="shared" si="8"/>
        <v>26500</v>
      </c>
      <c r="F71" s="142">
        <f t="shared" si="8"/>
        <v>0</v>
      </c>
      <c r="G71" s="142">
        <f t="shared" si="8"/>
        <v>0</v>
      </c>
      <c r="H71" s="142">
        <f t="shared" si="8"/>
        <v>0</v>
      </c>
      <c r="I71" s="142">
        <f t="shared" si="8"/>
        <v>0</v>
      </c>
      <c r="J71" s="143"/>
      <c r="K71" s="103"/>
    </row>
    <row r="72" spans="1:11" s="104" customFormat="1" ht="18.75" customHeight="1" thickBot="1" thickTop="1">
      <c r="A72" s="147">
        <v>1</v>
      </c>
      <c r="B72" s="123" t="s">
        <v>193</v>
      </c>
      <c r="C72" s="58">
        <f>SUM(D72,E72,F72,G72,J72)</f>
        <v>4500</v>
      </c>
      <c r="D72" s="148"/>
      <c r="E72" s="149">
        <v>4500</v>
      </c>
      <c r="F72" s="148"/>
      <c r="G72" s="150"/>
      <c r="H72" s="150"/>
      <c r="I72" s="150"/>
      <c r="J72" s="412" t="s">
        <v>123</v>
      </c>
      <c r="K72" s="103"/>
    </row>
    <row r="73" spans="1:11" s="39" customFormat="1" ht="18.75" customHeight="1" thickBot="1" thickTop="1">
      <c r="A73" s="55">
        <v>2</v>
      </c>
      <c r="B73" s="66" t="s">
        <v>194</v>
      </c>
      <c r="C73" s="58">
        <f>SUM(D73,E73,F73,G73,J73)</f>
        <v>8000</v>
      </c>
      <c r="D73" s="58"/>
      <c r="E73" s="58">
        <v>8000</v>
      </c>
      <c r="F73" s="58"/>
      <c r="G73" s="58"/>
      <c r="H73" s="58"/>
      <c r="I73" s="126"/>
      <c r="J73" s="412"/>
      <c r="K73" s="38"/>
    </row>
    <row r="74" spans="1:11" s="39" customFormat="1" ht="18.75" customHeight="1" thickBot="1" thickTop="1">
      <c r="A74" s="55">
        <v>3</v>
      </c>
      <c r="B74" s="113" t="s">
        <v>195</v>
      </c>
      <c r="C74" s="58">
        <f>SUM(D74,E74,F74,G74,J74)</f>
        <v>9000</v>
      </c>
      <c r="D74" s="58"/>
      <c r="E74" s="58">
        <v>9000</v>
      </c>
      <c r="F74" s="58"/>
      <c r="G74" s="58"/>
      <c r="H74" s="58"/>
      <c r="I74" s="126"/>
      <c r="J74" s="412"/>
      <c r="K74" s="38"/>
    </row>
    <row r="75" spans="1:11" s="39" customFormat="1" ht="18.75" customHeight="1" thickBot="1" thickTop="1">
      <c r="A75" s="151">
        <v>4</v>
      </c>
      <c r="B75" s="152" t="s">
        <v>196</v>
      </c>
      <c r="C75" s="153">
        <f>SUM(D75,E75,F75,G75,J75)</f>
        <v>5000</v>
      </c>
      <c r="D75" s="153"/>
      <c r="E75" s="153">
        <v>5000</v>
      </c>
      <c r="F75" s="153"/>
      <c r="G75" s="153"/>
      <c r="H75" s="153"/>
      <c r="I75" s="154"/>
      <c r="J75" s="413"/>
      <c r="K75" s="38"/>
    </row>
    <row r="76" spans="1:11" s="39" customFormat="1" ht="23.25" customHeight="1" thickBot="1">
      <c r="A76" s="410" t="s">
        <v>197</v>
      </c>
      <c r="B76" s="411"/>
      <c r="C76" s="49">
        <f aca="true" t="shared" si="9" ref="C76:H76">C77</f>
        <v>139000</v>
      </c>
      <c r="D76" s="49">
        <f t="shared" si="9"/>
        <v>0</v>
      </c>
      <c r="E76" s="49">
        <f t="shared" si="9"/>
        <v>139000</v>
      </c>
      <c r="F76" s="49">
        <f t="shared" si="9"/>
        <v>0</v>
      </c>
      <c r="G76" s="49">
        <f t="shared" si="9"/>
        <v>0</v>
      </c>
      <c r="H76" s="49">
        <f t="shared" si="9"/>
        <v>0</v>
      </c>
      <c r="I76" s="49"/>
      <c r="J76" s="102"/>
      <c r="K76" s="38"/>
    </row>
    <row r="77" spans="1:11" s="39" customFormat="1" ht="23.25" customHeight="1" thickBot="1">
      <c r="A77" s="473" t="s">
        <v>198</v>
      </c>
      <c r="B77" s="473"/>
      <c r="C77" s="52">
        <f>C78+C81+C79+C80</f>
        <v>139000</v>
      </c>
      <c r="D77" s="52">
        <f>D78+D81+D79+D80</f>
        <v>0</v>
      </c>
      <c r="E77" s="52">
        <f>E78+E81+E79+E80</f>
        <v>139000</v>
      </c>
      <c r="F77" s="52">
        <f>F78+F81</f>
        <v>0</v>
      </c>
      <c r="G77" s="52">
        <f>G78+G81</f>
        <v>0</v>
      </c>
      <c r="H77" s="52">
        <f>H78+H81</f>
        <v>0</v>
      </c>
      <c r="I77" s="52"/>
      <c r="J77" s="155"/>
      <c r="K77" s="38"/>
    </row>
    <row r="78" spans="1:11" s="39" customFormat="1" ht="21.75" customHeight="1" thickTop="1">
      <c r="A78" s="156">
        <v>1</v>
      </c>
      <c r="B78" s="113" t="s">
        <v>199</v>
      </c>
      <c r="C78" s="110">
        <f>SUM(D78,E78,F78,G78,J78)</f>
        <v>118390</v>
      </c>
      <c r="D78" s="110"/>
      <c r="E78" s="110">
        <f>139000-E79-E80</f>
        <v>118390</v>
      </c>
      <c r="F78" s="110"/>
      <c r="G78" s="110"/>
      <c r="H78" s="110"/>
      <c r="I78" s="157"/>
      <c r="J78" s="405" t="s">
        <v>123</v>
      </c>
      <c r="K78" s="38"/>
    </row>
    <row r="79" spans="1:11" s="39" customFormat="1" ht="29.25" customHeight="1">
      <c r="A79" s="158">
        <v>2</v>
      </c>
      <c r="B79" s="113" t="s">
        <v>200</v>
      </c>
      <c r="C79" s="116">
        <f>SUM(D79,E79,F79,G79,J79)</f>
        <v>12000</v>
      </c>
      <c r="D79" s="116"/>
      <c r="E79" s="116">
        <v>12000</v>
      </c>
      <c r="F79" s="116"/>
      <c r="G79" s="116"/>
      <c r="H79" s="116"/>
      <c r="I79" s="159"/>
      <c r="J79" s="407"/>
      <c r="K79" s="38"/>
    </row>
    <row r="80" spans="1:11" s="39" customFormat="1" ht="21.75" customHeight="1" thickBot="1">
      <c r="A80" s="158">
        <v>3</v>
      </c>
      <c r="B80" s="113" t="s">
        <v>201</v>
      </c>
      <c r="C80" s="116">
        <f>SUM(D80,E80,F80,G80,J80)</f>
        <v>8610</v>
      </c>
      <c r="D80" s="116"/>
      <c r="E80" s="116">
        <v>8610</v>
      </c>
      <c r="F80" s="116"/>
      <c r="G80" s="116"/>
      <c r="H80" s="116"/>
      <c r="I80" s="121" t="s">
        <v>202</v>
      </c>
      <c r="J80" s="160" t="s">
        <v>131</v>
      </c>
      <c r="K80" s="38"/>
    </row>
    <row r="81" spans="1:11" s="39" customFormat="1" ht="20.25" customHeight="1" hidden="1" thickBot="1">
      <c r="A81" s="55">
        <v>4</v>
      </c>
      <c r="B81" s="161" t="s">
        <v>203</v>
      </c>
      <c r="C81" s="58">
        <f>SUM(D81,E81,F81,G81,J81)</f>
        <v>0</v>
      </c>
      <c r="D81" s="58"/>
      <c r="E81" s="58"/>
      <c r="F81" s="58"/>
      <c r="G81" s="58"/>
      <c r="H81" s="58"/>
      <c r="I81" s="121"/>
      <c r="J81" s="162" t="s">
        <v>204</v>
      </c>
      <c r="K81" s="38"/>
    </row>
    <row r="82" spans="1:11" s="39" customFormat="1" ht="22.5" customHeight="1" thickBot="1">
      <c r="A82" s="163"/>
      <c r="B82" s="164" t="s">
        <v>205</v>
      </c>
      <c r="C82" s="165">
        <f>C76+C62+C55+C51+C30+C27+C9+C42+C39</f>
        <v>3314862.18</v>
      </c>
      <c r="D82" s="165">
        <f>D76+D62+D55+D51+D30+D27+D9+D42+D39</f>
        <v>914937</v>
      </c>
      <c r="E82" s="165">
        <f>E76+E62+E55+E51+E30+E27+E9+E42+E39</f>
        <v>1606925.18</v>
      </c>
      <c r="F82" s="165">
        <f>F76+F62+F55+F51+F30+F27+F9+F42+F39</f>
        <v>640000</v>
      </c>
      <c r="G82" s="165">
        <f>G76+G62+G55+G51+G30+G27+G9+G42+G39</f>
        <v>153000</v>
      </c>
      <c r="H82" s="166" t="e">
        <f>H76+H62+H55+H51+H30+H27+H9</f>
        <v>#REF!</v>
      </c>
      <c r="I82" s="166">
        <f>I9++I27+I30+I55+I62+I51+I76</f>
        <v>0</v>
      </c>
      <c r="J82" s="167"/>
      <c r="K82" s="38"/>
    </row>
    <row r="83" spans="1:17" s="173" customFormat="1" ht="14.25" customHeight="1">
      <c r="A83" s="168"/>
      <c r="B83" s="169"/>
      <c r="C83" s="170"/>
      <c r="D83" s="170"/>
      <c r="E83" s="170"/>
      <c r="F83" s="171"/>
      <c r="G83" s="171"/>
      <c r="H83" s="169"/>
      <c r="I83" s="169"/>
      <c r="J83" s="172"/>
      <c r="K83" s="170"/>
      <c r="L83" s="170"/>
      <c r="M83" s="170"/>
      <c r="N83" s="170"/>
      <c r="O83" s="170"/>
      <c r="P83" s="170"/>
      <c r="Q83" s="170"/>
    </row>
    <row r="84" spans="1:17" ht="18.75" customHeight="1">
      <c r="A84" s="174"/>
      <c r="B84" s="174"/>
      <c r="C84" s="175"/>
      <c r="D84" s="174"/>
      <c r="E84" s="174"/>
      <c r="F84" s="176"/>
      <c r="G84" s="177"/>
      <c r="H84" s="174"/>
      <c r="I84" s="178"/>
      <c r="J84" s="179"/>
      <c r="K84" s="174"/>
      <c r="L84" s="174"/>
      <c r="M84" s="174"/>
      <c r="N84" s="174"/>
      <c r="O84" s="174"/>
      <c r="P84" s="174"/>
      <c r="Q84" s="174"/>
    </row>
    <row r="85" spans="1:17" ht="18.75" customHeight="1">
      <c r="A85" s="174"/>
      <c r="B85" s="174"/>
      <c r="C85" s="175"/>
      <c r="D85" s="174"/>
      <c r="E85" s="174"/>
      <c r="F85" s="174"/>
      <c r="G85" s="174"/>
      <c r="H85" s="174"/>
      <c r="I85" s="174"/>
      <c r="J85" s="179"/>
      <c r="K85" s="174"/>
      <c r="L85" s="174"/>
      <c r="M85" s="174"/>
      <c r="N85" s="174"/>
      <c r="O85" s="174"/>
      <c r="P85" s="174"/>
      <c r="Q85" s="174"/>
    </row>
    <row r="86" spans="1:17" ht="18.75" customHeight="1">
      <c r="A86" s="174"/>
      <c r="B86" s="174"/>
      <c r="C86" s="171"/>
      <c r="D86" s="181"/>
      <c r="E86" s="181"/>
      <c r="F86" s="174"/>
      <c r="G86" s="174"/>
      <c r="H86" s="174"/>
      <c r="I86" s="174"/>
      <c r="J86" s="179"/>
      <c r="K86" s="174"/>
      <c r="L86" s="174"/>
      <c r="M86" s="174"/>
      <c r="N86" s="174"/>
      <c r="O86" s="174"/>
      <c r="P86" s="174"/>
      <c r="Q86" s="174"/>
    </row>
  </sheetData>
  <sheetProtection/>
  <mergeCells count="48">
    <mergeCell ref="A1:J1"/>
    <mergeCell ref="A3:A7"/>
    <mergeCell ref="B3:B7"/>
    <mergeCell ref="C3:C7"/>
    <mergeCell ref="D3:G3"/>
    <mergeCell ref="J3:J7"/>
    <mergeCell ref="D4:D7"/>
    <mergeCell ref="E4:G4"/>
    <mergeCell ref="E5:E7"/>
    <mergeCell ref="F5:F7"/>
    <mergeCell ref="G5:G7"/>
    <mergeCell ref="I5:I7"/>
    <mergeCell ref="A9:B9"/>
    <mergeCell ref="A10:B10"/>
    <mergeCell ref="A30:B30"/>
    <mergeCell ref="A31:B31"/>
    <mergeCell ref="A36:B36"/>
    <mergeCell ref="A55:B55"/>
    <mergeCell ref="A39:B39"/>
    <mergeCell ref="A40:B40"/>
    <mergeCell ref="J11:J16"/>
    <mergeCell ref="A27:B27"/>
    <mergeCell ref="A28:B28"/>
    <mergeCell ref="J17:J22"/>
    <mergeCell ref="I17:I22"/>
    <mergeCell ref="A24:B24"/>
    <mergeCell ref="J23:J24"/>
    <mergeCell ref="I25:I26"/>
    <mergeCell ref="J25:J26"/>
    <mergeCell ref="A77:B77"/>
    <mergeCell ref="A51:B51"/>
    <mergeCell ref="A52:B52"/>
    <mergeCell ref="A71:B71"/>
    <mergeCell ref="A60:B60"/>
    <mergeCell ref="A56:B56"/>
    <mergeCell ref="A58:B58"/>
    <mergeCell ref="A62:B62"/>
    <mergeCell ref="A63:B63"/>
    <mergeCell ref="J32:J34"/>
    <mergeCell ref="J78:J79"/>
    <mergeCell ref="A49:B49"/>
    <mergeCell ref="A76:B76"/>
    <mergeCell ref="J64:J69"/>
    <mergeCell ref="J72:J75"/>
    <mergeCell ref="J37:J38"/>
    <mergeCell ref="A42:B42"/>
    <mergeCell ref="A43:B43"/>
    <mergeCell ref="I44:I48"/>
  </mergeCells>
  <printOptions horizontalCentered="1"/>
  <pageMargins left="0.5511811023622047" right="0.5511811023622047" top="0.62" bottom="0.33" header="0.15748031496062992" footer="0.15748031496062992"/>
  <pageSetup fitToHeight="2" horizontalDpi="600" verticalDpi="600" orientation="landscape" paperSize="9" scale="65" r:id="rId1"/>
  <headerFooter alignWithMargins="0">
    <oddHeader>&amp;R&amp;"Arial,Pogrubiony"&amp;9Załącznik Nr 3&amp;"Arial,Normalny"
do Uchwały Nr XXIV/146/2012 
Rady Gminy Miłkowice
z dnia 28 września 2012r.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K71"/>
  <sheetViews>
    <sheetView tabSelected="1" zoomScale="80" zoomScaleNormal="80" workbookViewId="0" topLeftCell="F1">
      <selection activeCell="B18" sqref="B18"/>
    </sheetView>
  </sheetViews>
  <sheetFormatPr defaultColWidth="9.33203125" defaultRowHeight="12.75"/>
  <cols>
    <col min="1" max="1" width="4.16015625" style="246" customWidth="1"/>
    <col min="2" max="2" width="76.16015625" style="251" customWidth="1"/>
    <col min="3" max="3" width="13" style="252" customWidth="1"/>
    <col min="4" max="4" width="14" style="253" customWidth="1"/>
    <col min="5" max="5" width="11.83203125" style="253" customWidth="1"/>
    <col min="6" max="6" width="30.83203125" style="253" customWidth="1"/>
    <col min="7" max="8" width="19.83203125" style="253" customWidth="1"/>
    <col min="9" max="9" width="19.83203125" style="254" customWidth="1"/>
    <col min="10" max="10" width="13.83203125" style="250" customWidth="1"/>
    <col min="11" max="16384" width="10.66015625" style="250" customWidth="1"/>
  </cols>
  <sheetData>
    <row r="1" spans="1:9" s="183" customFormat="1" ht="21" customHeight="1">
      <c r="A1" s="514" t="s">
        <v>208</v>
      </c>
      <c r="B1" s="514"/>
      <c r="C1" s="514"/>
      <c r="D1" s="514"/>
      <c r="E1" s="514"/>
      <c r="F1" s="514"/>
      <c r="G1" s="514"/>
      <c r="H1" s="514"/>
      <c r="I1" s="514"/>
    </row>
    <row r="2" spans="1:9" s="183" customFormat="1" ht="9" customHeight="1" thickBot="1">
      <c r="A2" s="184"/>
      <c r="B2" s="184"/>
      <c r="C2" s="184"/>
      <c r="D2" s="184"/>
      <c r="E2" s="184"/>
      <c r="F2" s="184"/>
      <c r="G2" s="184"/>
      <c r="H2" s="184"/>
      <c r="I2" s="185"/>
    </row>
    <row r="3" spans="1:9" s="183" customFormat="1" ht="27.75" customHeight="1">
      <c r="A3" s="515" t="s">
        <v>209</v>
      </c>
      <c r="B3" s="518" t="s">
        <v>210</v>
      </c>
      <c r="C3" s="518" t="s">
        <v>211</v>
      </c>
      <c r="D3" s="518" t="s">
        <v>212</v>
      </c>
      <c r="E3" s="524" t="s">
        <v>213</v>
      </c>
      <c r="F3" s="521" t="s">
        <v>214</v>
      </c>
      <c r="G3" s="522"/>
      <c r="H3" s="523"/>
      <c r="I3" s="526" t="s">
        <v>215</v>
      </c>
    </row>
    <row r="4" spans="1:9" s="183" customFormat="1" ht="21" customHeight="1">
      <c r="A4" s="516"/>
      <c r="B4" s="519"/>
      <c r="C4" s="519"/>
      <c r="D4" s="519"/>
      <c r="E4" s="525"/>
      <c r="F4" s="519" t="s">
        <v>216</v>
      </c>
      <c r="G4" s="519" t="s">
        <v>217</v>
      </c>
      <c r="H4" s="512" t="s">
        <v>218</v>
      </c>
      <c r="I4" s="527"/>
    </row>
    <row r="5" spans="1:9" s="183" customFormat="1" ht="21" customHeight="1" thickBot="1">
      <c r="A5" s="517"/>
      <c r="B5" s="520"/>
      <c r="C5" s="520"/>
      <c r="D5" s="520"/>
      <c r="E5" s="513"/>
      <c r="F5" s="520"/>
      <c r="G5" s="520"/>
      <c r="H5" s="513"/>
      <c r="I5" s="528"/>
    </row>
    <row r="6" spans="1:9" s="190" customFormat="1" ht="8.25" customHeight="1" thickBot="1">
      <c r="A6" s="186">
        <v>1</v>
      </c>
      <c r="B6" s="187">
        <v>2</v>
      </c>
      <c r="C6" s="187">
        <v>3</v>
      </c>
      <c r="D6" s="187">
        <v>4</v>
      </c>
      <c r="E6" s="187">
        <v>5</v>
      </c>
      <c r="F6" s="187">
        <v>6</v>
      </c>
      <c r="G6" s="188">
        <v>7</v>
      </c>
      <c r="H6" s="188">
        <v>8</v>
      </c>
      <c r="I6" s="189">
        <v>9</v>
      </c>
    </row>
    <row r="7" spans="1:9" s="195" customFormat="1" ht="24" customHeight="1" thickBot="1">
      <c r="A7" s="191"/>
      <c r="B7" s="192" t="s">
        <v>219</v>
      </c>
      <c r="C7" s="193" t="s">
        <v>220</v>
      </c>
      <c r="D7" s="193" t="s">
        <v>220</v>
      </c>
      <c r="E7" s="193"/>
      <c r="F7" s="193" t="s">
        <v>220</v>
      </c>
      <c r="G7" s="194">
        <f>G8+G18</f>
        <v>5294654</v>
      </c>
      <c r="H7" s="194">
        <f>H8+H18</f>
        <v>0</v>
      </c>
      <c r="I7" s="194">
        <f>I8+I18</f>
        <v>1549654</v>
      </c>
    </row>
    <row r="8" spans="1:9" s="195" customFormat="1" ht="18.75" customHeight="1">
      <c r="A8" s="196" t="s">
        <v>221</v>
      </c>
      <c r="B8" s="197" t="s">
        <v>248</v>
      </c>
      <c r="C8" s="198"/>
      <c r="D8" s="199" t="s">
        <v>222</v>
      </c>
      <c r="E8" s="508" t="s">
        <v>223</v>
      </c>
      <c r="F8" s="200" t="s">
        <v>224</v>
      </c>
      <c r="G8" s="201">
        <f>SUM(G9:G12)</f>
        <v>5207839</v>
      </c>
      <c r="H8" s="201">
        <f>SUM(H9:H12)</f>
        <v>0</v>
      </c>
      <c r="I8" s="202">
        <f>SUM(I9:I12)</f>
        <v>1462839</v>
      </c>
    </row>
    <row r="9" spans="1:9" s="195" customFormat="1" ht="29.25" customHeight="1">
      <c r="A9" s="203"/>
      <c r="B9" s="204" t="s">
        <v>249</v>
      </c>
      <c r="C9" s="198"/>
      <c r="D9" s="205"/>
      <c r="E9" s="509"/>
      <c r="F9" s="206" t="s">
        <v>225</v>
      </c>
      <c r="G9" s="207">
        <f>I9+358116-200000</f>
        <v>162782</v>
      </c>
      <c r="H9" s="207"/>
      <c r="I9" s="208">
        <f>146827-100000-42161</f>
        <v>4666</v>
      </c>
    </row>
    <row r="10" spans="1:9" s="195" customFormat="1" ht="20.25" customHeight="1">
      <c r="A10" s="203"/>
      <c r="B10" s="204" t="s">
        <v>250</v>
      </c>
      <c r="C10" s="198"/>
      <c r="D10" s="205"/>
      <c r="E10" s="509"/>
      <c r="F10" s="206" t="s">
        <v>226</v>
      </c>
      <c r="G10" s="207"/>
      <c r="H10" s="207"/>
      <c r="I10" s="208"/>
    </row>
    <row r="11" spans="1:9" s="195" customFormat="1" ht="34.5" customHeight="1">
      <c r="A11" s="203"/>
      <c r="B11" s="504" t="s">
        <v>457</v>
      </c>
      <c r="C11" s="198"/>
      <c r="D11" s="205"/>
      <c r="E11" s="509"/>
      <c r="F11" s="206" t="s">
        <v>227</v>
      </c>
      <c r="G11" s="207">
        <f>I11+1400000+200000</f>
        <v>2200000</v>
      </c>
      <c r="H11" s="207"/>
      <c r="I11" s="208">
        <v>600000</v>
      </c>
    </row>
    <row r="12" spans="1:9" s="195" customFormat="1" ht="34.5" customHeight="1" thickBot="1">
      <c r="A12" s="209"/>
      <c r="B12" s="505"/>
      <c r="C12" s="210"/>
      <c r="D12" s="211"/>
      <c r="E12" s="510"/>
      <c r="F12" s="212" t="s">
        <v>228</v>
      </c>
      <c r="G12" s="213">
        <f>1986884+I12</f>
        <v>2845057</v>
      </c>
      <c r="H12" s="213"/>
      <c r="I12" s="214">
        <v>858173</v>
      </c>
    </row>
    <row r="13" spans="1:9" s="195" customFormat="1" ht="18.75" customHeight="1" hidden="1">
      <c r="A13" s="196" t="s">
        <v>229</v>
      </c>
      <c r="B13" s="197" t="s">
        <v>248</v>
      </c>
      <c r="C13" s="198"/>
      <c r="D13" s="199" t="s">
        <v>230</v>
      </c>
      <c r="E13" s="508" t="s">
        <v>231</v>
      </c>
      <c r="F13" s="200" t="s">
        <v>224</v>
      </c>
      <c r="G13" s="201">
        <f>SUM(G14:G17)</f>
        <v>190000</v>
      </c>
      <c r="H13" s="201"/>
      <c r="I13" s="202">
        <f>SUM(I14:I17)</f>
        <v>190000</v>
      </c>
    </row>
    <row r="14" spans="1:9" s="195" customFormat="1" ht="29.25" customHeight="1" hidden="1">
      <c r="A14" s="203"/>
      <c r="B14" s="204" t="s">
        <v>251</v>
      </c>
      <c r="C14" s="198"/>
      <c r="D14" s="205"/>
      <c r="E14" s="509"/>
      <c r="F14" s="206" t="s">
        <v>225</v>
      </c>
      <c r="G14" s="207">
        <f>SUM(H14:I14)</f>
        <v>87000</v>
      </c>
      <c r="H14" s="207"/>
      <c r="I14" s="208">
        <v>87000</v>
      </c>
    </row>
    <row r="15" spans="1:9" s="195" customFormat="1" ht="23.25" customHeight="1" hidden="1">
      <c r="A15" s="203"/>
      <c r="B15" s="204" t="s">
        <v>252</v>
      </c>
      <c r="C15" s="198"/>
      <c r="D15" s="205"/>
      <c r="E15" s="509"/>
      <c r="F15" s="206" t="s">
        <v>226</v>
      </c>
      <c r="G15" s="207"/>
      <c r="H15" s="207"/>
      <c r="I15" s="208"/>
    </row>
    <row r="16" spans="1:9" s="195" customFormat="1" ht="18.75" customHeight="1" hidden="1">
      <c r="A16" s="203"/>
      <c r="B16" s="504" t="s">
        <v>253</v>
      </c>
      <c r="C16" s="198"/>
      <c r="D16" s="205"/>
      <c r="E16" s="509"/>
      <c r="F16" s="206" t="s">
        <v>227</v>
      </c>
      <c r="G16" s="207"/>
      <c r="H16" s="207"/>
      <c r="I16" s="208"/>
    </row>
    <row r="17" spans="1:9" s="195" customFormat="1" ht="20.25" customHeight="1" hidden="1" thickBot="1">
      <c r="A17" s="209"/>
      <c r="B17" s="511"/>
      <c r="C17" s="210"/>
      <c r="D17" s="211"/>
      <c r="E17" s="510"/>
      <c r="F17" s="212" t="s">
        <v>228</v>
      </c>
      <c r="G17" s="213">
        <f>I17</f>
        <v>103000</v>
      </c>
      <c r="H17" s="213"/>
      <c r="I17" s="214">
        <v>103000</v>
      </c>
    </row>
    <row r="18" spans="1:9" s="195" customFormat="1" ht="18.75" customHeight="1">
      <c r="A18" s="196" t="s">
        <v>229</v>
      </c>
      <c r="B18" s="197" t="s">
        <v>248</v>
      </c>
      <c r="C18" s="198"/>
      <c r="D18" s="199" t="s">
        <v>230</v>
      </c>
      <c r="E18" s="508" t="s">
        <v>231</v>
      </c>
      <c r="F18" s="200" t="s">
        <v>224</v>
      </c>
      <c r="G18" s="201">
        <f>SUM(G19:G22)</f>
        <v>86815</v>
      </c>
      <c r="H18" s="201"/>
      <c r="I18" s="202">
        <f>SUM(I19:I22)</f>
        <v>86815</v>
      </c>
    </row>
    <row r="19" spans="1:9" s="195" customFormat="1" ht="29.25" customHeight="1">
      <c r="A19" s="203"/>
      <c r="B19" s="204" t="s">
        <v>251</v>
      </c>
      <c r="C19" s="198"/>
      <c r="D19" s="205"/>
      <c r="E19" s="509"/>
      <c r="F19" s="206" t="s">
        <v>225</v>
      </c>
      <c r="G19" s="207">
        <f>SUM(H19:I19)</f>
        <v>30051</v>
      </c>
      <c r="H19" s="207"/>
      <c r="I19" s="208">
        <v>30051</v>
      </c>
    </row>
    <row r="20" spans="1:9" s="195" customFormat="1" ht="23.25" customHeight="1">
      <c r="A20" s="203"/>
      <c r="B20" s="204" t="s">
        <v>252</v>
      </c>
      <c r="C20" s="198"/>
      <c r="D20" s="205"/>
      <c r="E20" s="509"/>
      <c r="F20" s="206" t="s">
        <v>226</v>
      </c>
      <c r="G20" s="207"/>
      <c r="H20" s="207"/>
      <c r="I20" s="208"/>
    </row>
    <row r="21" spans="1:9" s="195" customFormat="1" ht="18.75" customHeight="1">
      <c r="A21" s="203"/>
      <c r="B21" s="504" t="s">
        <v>254</v>
      </c>
      <c r="C21" s="198"/>
      <c r="D21" s="205"/>
      <c r="E21" s="509"/>
      <c r="F21" s="206" t="s">
        <v>227</v>
      </c>
      <c r="G21" s="207"/>
      <c r="H21" s="207"/>
      <c r="I21" s="208"/>
    </row>
    <row r="22" spans="1:9" s="195" customFormat="1" ht="20.25" customHeight="1" thickBot="1">
      <c r="A22" s="209"/>
      <c r="B22" s="511"/>
      <c r="C22" s="210"/>
      <c r="D22" s="211"/>
      <c r="E22" s="510"/>
      <c r="F22" s="212" t="s">
        <v>228</v>
      </c>
      <c r="G22" s="213">
        <f>I22</f>
        <v>56764</v>
      </c>
      <c r="H22" s="213"/>
      <c r="I22" s="214">
        <v>56764</v>
      </c>
    </row>
    <row r="23" spans="1:10" s="195" customFormat="1" ht="24" customHeight="1" thickBot="1">
      <c r="A23" s="191"/>
      <c r="B23" s="192" t="s">
        <v>232</v>
      </c>
      <c r="C23" s="193" t="s">
        <v>220</v>
      </c>
      <c r="D23" s="193" t="s">
        <v>220</v>
      </c>
      <c r="E23" s="193"/>
      <c r="F23" s="193" t="s">
        <v>220</v>
      </c>
      <c r="G23" s="194">
        <f>G24+G29+G34+G39+G44+G49+G54+G59+G64</f>
        <v>512800</v>
      </c>
      <c r="H23" s="194">
        <f>H24+H29+H34+H39+H44+H49+H54+H59+H64</f>
        <v>181135.74</v>
      </c>
      <c r="I23" s="194">
        <f>I24+I29+I34+I39+I44+I49+I54+I59+I64</f>
        <v>324139.69</v>
      </c>
      <c r="J23" s="421"/>
    </row>
    <row r="24" spans="1:11" s="224" customFormat="1" ht="20.25" customHeight="1">
      <c r="A24" s="215" t="s">
        <v>221</v>
      </c>
      <c r="B24" s="197" t="s">
        <v>255</v>
      </c>
      <c r="C24" s="216"/>
      <c r="D24" s="217" t="s">
        <v>233</v>
      </c>
      <c r="E24" s="506" t="s">
        <v>234</v>
      </c>
      <c r="F24" s="218" t="s">
        <v>235</v>
      </c>
      <c r="G24" s="219">
        <f>G25+G26+G27+G28</f>
        <v>85508</v>
      </c>
      <c r="H24" s="220">
        <f>H25+H26+H27+H28</f>
        <v>19085.74</v>
      </c>
      <c r="I24" s="221">
        <f>I25+I26+I27+I28</f>
        <v>63302.689999999995</v>
      </c>
      <c r="J24" s="222"/>
      <c r="K24" s="332"/>
    </row>
    <row r="25" spans="1:11" s="224" customFormat="1" ht="15">
      <c r="A25" s="225"/>
      <c r="B25" s="204" t="s">
        <v>256</v>
      </c>
      <c r="C25" s="216"/>
      <c r="D25" s="217"/>
      <c r="E25" s="506"/>
      <c r="F25" s="226" t="s">
        <v>236</v>
      </c>
      <c r="G25" s="227">
        <f>H25+I25</f>
        <v>0</v>
      </c>
      <c r="H25" s="207"/>
      <c r="I25" s="228"/>
      <c r="K25" s="223"/>
    </row>
    <row r="26" spans="1:11" s="224" customFormat="1" ht="30.75" customHeight="1">
      <c r="A26" s="225"/>
      <c r="B26" s="204" t="s">
        <v>257</v>
      </c>
      <c r="C26" s="216"/>
      <c r="D26" s="217"/>
      <c r="E26" s="506"/>
      <c r="F26" s="226" t="s">
        <v>226</v>
      </c>
      <c r="G26" s="227">
        <f>12286+108+432</f>
        <v>12826</v>
      </c>
      <c r="H26" s="207">
        <f>320.42+1461.64+450+630.81</f>
        <v>2862.8700000000003</v>
      </c>
      <c r="I26" s="228">
        <f>1889.19+905.02+217.5+1140.81+2740.66+2170.22+432</f>
        <v>9495.4</v>
      </c>
      <c r="J26" s="222"/>
      <c r="K26" s="223"/>
    </row>
    <row r="27" spans="1:11" s="224" customFormat="1" ht="18.75" customHeight="1">
      <c r="A27" s="225"/>
      <c r="B27" s="504" t="s">
        <v>258</v>
      </c>
      <c r="C27" s="216"/>
      <c r="D27" s="217"/>
      <c r="E27" s="506"/>
      <c r="F27" s="226" t="s">
        <v>227</v>
      </c>
      <c r="G27" s="227">
        <f>H27+I27</f>
        <v>0</v>
      </c>
      <c r="H27" s="207"/>
      <c r="I27" s="228"/>
      <c r="J27" s="222"/>
      <c r="K27" s="223"/>
    </row>
    <row r="28" spans="1:11" s="224" customFormat="1" ht="18.75" customHeight="1" thickBot="1">
      <c r="A28" s="229"/>
      <c r="B28" s="505"/>
      <c r="C28" s="230"/>
      <c r="D28" s="231"/>
      <c r="E28" s="507"/>
      <c r="F28" s="232" t="s">
        <v>237</v>
      </c>
      <c r="G28" s="233">
        <f>69622+2448+612</f>
        <v>72682</v>
      </c>
      <c r="H28" s="213">
        <f>3574.59+2549.99+8282.61+1815.68</f>
        <v>16222.87</v>
      </c>
      <c r="I28" s="234">
        <f>10705.41+5128.48+1232.5+6464.59+15530.39+12297.92+2448</f>
        <v>53807.28999999999</v>
      </c>
      <c r="J28" s="222"/>
      <c r="K28" s="223"/>
    </row>
    <row r="29" spans="1:11" s="224" customFormat="1" ht="20.25" customHeight="1">
      <c r="A29" s="215" t="s">
        <v>229</v>
      </c>
      <c r="B29" s="197" t="s">
        <v>255</v>
      </c>
      <c r="C29" s="216"/>
      <c r="D29" s="217" t="s">
        <v>238</v>
      </c>
      <c r="E29" s="506" t="s">
        <v>239</v>
      </c>
      <c r="F29" s="218" t="s">
        <v>235</v>
      </c>
      <c r="G29" s="219">
        <f>G30+G31+G32+G33</f>
        <v>354050</v>
      </c>
      <c r="H29" s="220">
        <f>H30+H31+H32+H33</f>
        <v>162050</v>
      </c>
      <c r="I29" s="221">
        <f>I30+I31+I32+I33</f>
        <v>192000</v>
      </c>
      <c r="K29" s="223"/>
    </row>
    <row r="30" spans="1:11" s="224" customFormat="1" ht="15">
      <c r="A30" s="225"/>
      <c r="B30" s="204" t="s">
        <v>259</v>
      </c>
      <c r="C30" s="216"/>
      <c r="D30" s="217"/>
      <c r="E30" s="506"/>
      <c r="F30" s="226" t="s">
        <v>236</v>
      </c>
      <c r="G30" s="227">
        <f>H30+I30</f>
        <v>37499</v>
      </c>
      <c r="H30" s="207">
        <v>17339</v>
      </c>
      <c r="I30" s="228">
        <v>20160</v>
      </c>
      <c r="K30" s="223"/>
    </row>
    <row r="31" spans="1:11" s="224" customFormat="1" ht="24.75" customHeight="1">
      <c r="A31" s="225"/>
      <c r="B31" s="204" t="s">
        <v>260</v>
      </c>
      <c r="C31" s="216"/>
      <c r="D31" s="217"/>
      <c r="E31" s="506"/>
      <c r="F31" s="226" t="s">
        <v>226</v>
      </c>
      <c r="G31" s="227">
        <f>H31+I31</f>
        <v>15916</v>
      </c>
      <c r="H31" s="207">
        <v>7276</v>
      </c>
      <c r="I31" s="228">
        <v>8640</v>
      </c>
      <c r="K31" s="223"/>
    </row>
    <row r="32" spans="1:11" s="224" customFormat="1" ht="15.75" customHeight="1">
      <c r="A32" s="225"/>
      <c r="B32" s="504" t="s">
        <v>261</v>
      </c>
      <c r="C32" s="216"/>
      <c r="D32" s="217"/>
      <c r="E32" s="506"/>
      <c r="F32" s="226" t="s">
        <v>227</v>
      </c>
      <c r="G32" s="227">
        <f>H32+I32</f>
        <v>0</v>
      </c>
      <c r="H32" s="207">
        <v>0</v>
      </c>
      <c r="I32" s="228">
        <v>0</v>
      </c>
      <c r="K32" s="223"/>
    </row>
    <row r="33" spans="1:11" s="224" customFormat="1" ht="18.75" customHeight="1" thickBot="1">
      <c r="A33" s="229"/>
      <c r="B33" s="505"/>
      <c r="C33" s="230"/>
      <c r="D33" s="231"/>
      <c r="E33" s="507"/>
      <c r="F33" s="232" t="s">
        <v>237</v>
      </c>
      <c r="G33" s="233">
        <f>H33+I33</f>
        <v>300635</v>
      </c>
      <c r="H33" s="213">
        <v>137435</v>
      </c>
      <c r="I33" s="234">
        <v>163200</v>
      </c>
      <c r="K33" s="223"/>
    </row>
    <row r="34" spans="1:11" s="236" customFormat="1" ht="20.25" customHeight="1">
      <c r="A34" s="215" t="s">
        <v>240</v>
      </c>
      <c r="B34" s="197" t="s">
        <v>248</v>
      </c>
      <c r="C34" s="198"/>
      <c r="D34" s="235" t="s">
        <v>241</v>
      </c>
      <c r="E34" s="502" t="s">
        <v>231</v>
      </c>
      <c r="F34" s="200" t="s">
        <v>235</v>
      </c>
      <c r="G34" s="201">
        <f>G35+G36+G37+G38</f>
        <v>8937</v>
      </c>
      <c r="H34" s="201"/>
      <c r="I34" s="201">
        <f>I35+I36+I37+I38</f>
        <v>8937</v>
      </c>
      <c r="K34" s="237"/>
    </row>
    <row r="35" spans="1:11" s="236" customFormat="1" ht="15">
      <c r="A35" s="203"/>
      <c r="B35" s="204" t="s">
        <v>262</v>
      </c>
      <c r="C35" s="198"/>
      <c r="D35" s="235"/>
      <c r="E35" s="502"/>
      <c r="F35" s="206" t="s">
        <v>236</v>
      </c>
      <c r="G35" s="207">
        <f>H35+I35</f>
        <v>3144</v>
      </c>
      <c r="H35" s="207"/>
      <c r="I35" s="207">
        <v>3144</v>
      </c>
      <c r="K35" s="237"/>
    </row>
    <row r="36" spans="1:11" s="236" customFormat="1" ht="21" customHeight="1">
      <c r="A36" s="203"/>
      <c r="B36" s="204" t="s">
        <v>263</v>
      </c>
      <c r="C36" s="198"/>
      <c r="D36" s="235"/>
      <c r="E36" s="502"/>
      <c r="F36" s="206" t="s">
        <v>226</v>
      </c>
      <c r="G36" s="207">
        <f>H36+I36</f>
        <v>0</v>
      </c>
      <c r="H36" s="207"/>
      <c r="I36" s="207">
        <v>0</v>
      </c>
      <c r="K36" s="237"/>
    </row>
    <row r="37" spans="1:11" s="236" customFormat="1" ht="15.75" customHeight="1">
      <c r="A37" s="203"/>
      <c r="B37" s="504" t="s">
        <v>264</v>
      </c>
      <c r="C37" s="198"/>
      <c r="D37" s="235"/>
      <c r="E37" s="502"/>
      <c r="F37" s="206" t="s">
        <v>227</v>
      </c>
      <c r="G37" s="207">
        <f>H37+I37</f>
        <v>0</v>
      </c>
      <c r="H37" s="207"/>
      <c r="I37" s="207">
        <v>0</v>
      </c>
      <c r="K37" s="237"/>
    </row>
    <row r="38" spans="1:11" s="236" customFormat="1" ht="18.75" customHeight="1" thickBot="1">
      <c r="A38" s="209"/>
      <c r="B38" s="505"/>
      <c r="C38" s="210"/>
      <c r="D38" s="238"/>
      <c r="E38" s="503"/>
      <c r="F38" s="212" t="s">
        <v>237</v>
      </c>
      <c r="G38" s="213">
        <f>H38+I38</f>
        <v>5793</v>
      </c>
      <c r="H38" s="213"/>
      <c r="I38" s="213">
        <v>5793</v>
      </c>
      <c r="K38" s="237"/>
    </row>
    <row r="39" spans="1:11" s="236" customFormat="1" ht="20.25" customHeight="1">
      <c r="A39" s="215" t="s">
        <v>242</v>
      </c>
      <c r="B39" s="197" t="s">
        <v>248</v>
      </c>
      <c r="C39" s="198"/>
      <c r="D39" s="235" t="s">
        <v>230</v>
      </c>
      <c r="E39" s="502" t="s">
        <v>231</v>
      </c>
      <c r="F39" s="200" t="s">
        <v>235</v>
      </c>
      <c r="G39" s="201">
        <f>G40+G41+G42+G43</f>
        <v>16624</v>
      </c>
      <c r="H39" s="201"/>
      <c r="I39" s="201">
        <f>I40+I41+I42+I43</f>
        <v>16624</v>
      </c>
      <c r="K39" s="237"/>
    </row>
    <row r="40" spans="1:11" s="236" customFormat="1" ht="15">
      <c r="A40" s="203"/>
      <c r="B40" s="204" t="s">
        <v>262</v>
      </c>
      <c r="C40" s="198"/>
      <c r="D40" s="235"/>
      <c r="E40" s="502"/>
      <c r="F40" s="206" t="s">
        <v>236</v>
      </c>
      <c r="G40" s="207">
        <f>H40+I40</f>
        <v>7163</v>
      </c>
      <c r="H40" s="207"/>
      <c r="I40" s="207">
        <v>7163</v>
      </c>
      <c r="K40" s="237"/>
    </row>
    <row r="41" spans="1:11" s="236" customFormat="1" ht="21" customHeight="1">
      <c r="A41" s="203"/>
      <c r="B41" s="204" t="s">
        <v>263</v>
      </c>
      <c r="C41" s="198"/>
      <c r="D41" s="235"/>
      <c r="E41" s="502"/>
      <c r="F41" s="206" t="s">
        <v>226</v>
      </c>
      <c r="G41" s="207">
        <f>H41+I41</f>
        <v>0</v>
      </c>
      <c r="H41" s="207"/>
      <c r="I41" s="207">
        <v>0</v>
      </c>
      <c r="K41" s="237"/>
    </row>
    <row r="42" spans="1:11" s="236" customFormat="1" ht="15.75" customHeight="1">
      <c r="A42" s="203"/>
      <c r="B42" s="504" t="s">
        <v>265</v>
      </c>
      <c r="C42" s="198"/>
      <c r="D42" s="235"/>
      <c r="E42" s="502"/>
      <c r="F42" s="206" t="s">
        <v>227</v>
      </c>
      <c r="G42" s="207">
        <f>H42+I42</f>
        <v>0</v>
      </c>
      <c r="H42" s="207"/>
      <c r="I42" s="207">
        <v>0</v>
      </c>
      <c r="K42" s="237"/>
    </row>
    <row r="43" spans="1:11" s="236" customFormat="1" ht="18.75" customHeight="1" thickBot="1">
      <c r="A43" s="209"/>
      <c r="B43" s="505"/>
      <c r="C43" s="210"/>
      <c r="D43" s="238"/>
      <c r="E43" s="503"/>
      <c r="F43" s="212" t="s">
        <v>237</v>
      </c>
      <c r="G43" s="213">
        <f>H43+I43</f>
        <v>9461</v>
      </c>
      <c r="H43" s="213"/>
      <c r="I43" s="213">
        <v>9461</v>
      </c>
      <c r="K43" s="237"/>
    </row>
    <row r="44" spans="1:11" s="236" customFormat="1" ht="20.25" customHeight="1">
      <c r="A44" s="215" t="s">
        <v>243</v>
      </c>
      <c r="B44" s="197" t="s">
        <v>248</v>
      </c>
      <c r="C44" s="198"/>
      <c r="D44" s="235" t="s">
        <v>241</v>
      </c>
      <c r="E44" s="502" t="s">
        <v>231</v>
      </c>
      <c r="F44" s="200" t="s">
        <v>235</v>
      </c>
      <c r="G44" s="201">
        <f>G45+G46+G47+G48</f>
        <v>8926</v>
      </c>
      <c r="H44" s="201"/>
      <c r="I44" s="201">
        <f>I45+I46+I47+I48</f>
        <v>8926</v>
      </c>
      <c r="K44" s="237"/>
    </row>
    <row r="45" spans="1:11" s="236" customFormat="1" ht="15">
      <c r="A45" s="203"/>
      <c r="B45" s="204" t="s">
        <v>262</v>
      </c>
      <c r="C45" s="198"/>
      <c r="D45" s="235"/>
      <c r="E45" s="502"/>
      <c r="F45" s="206" t="s">
        <v>236</v>
      </c>
      <c r="G45" s="207">
        <f>H45+I45</f>
        <v>3215</v>
      </c>
      <c r="H45" s="207"/>
      <c r="I45" s="207">
        <f>3243-28</f>
        <v>3215</v>
      </c>
      <c r="K45" s="237"/>
    </row>
    <row r="46" spans="1:11" s="236" customFormat="1" ht="21" customHeight="1">
      <c r="A46" s="203"/>
      <c r="B46" s="204" t="s">
        <v>263</v>
      </c>
      <c r="C46" s="198"/>
      <c r="D46" s="235"/>
      <c r="E46" s="502"/>
      <c r="F46" s="206" t="s">
        <v>226</v>
      </c>
      <c r="G46" s="207">
        <f>H46+I46</f>
        <v>0</v>
      </c>
      <c r="H46" s="207"/>
      <c r="I46" s="207">
        <v>0</v>
      </c>
      <c r="K46" s="237"/>
    </row>
    <row r="47" spans="1:11" s="236" customFormat="1" ht="15.75" customHeight="1">
      <c r="A47" s="203"/>
      <c r="B47" s="504" t="s">
        <v>266</v>
      </c>
      <c r="C47" s="198"/>
      <c r="D47" s="235"/>
      <c r="E47" s="502"/>
      <c r="F47" s="206" t="s">
        <v>227</v>
      </c>
      <c r="G47" s="207">
        <f>H47+I47</f>
        <v>0</v>
      </c>
      <c r="H47" s="207"/>
      <c r="I47" s="207">
        <v>0</v>
      </c>
      <c r="K47" s="237"/>
    </row>
    <row r="48" spans="1:11" s="236" customFormat="1" ht="18.75" customHeight="1" thickBot="1">
      <c r="A48" s="209"/>
      <c r="B48" s="505"/>
      <c r="C48" s="210"/>
      <c r="D48" s="238"/>
      <c r="E48" s="503"/>
      <c r="F48" s="212" t="s">
        <v>237</v>
      </c>
      <c r="G48" s="213">
        <f>H48+I48</f>
        <v>5711</v>
      </c>
      <c r="H48" s="213"/>
      <c r="I48" s="213">
        <v>5711</v>
      </c>
      <c r="K48" s="237"/>
    </row>
    <row r="49" spans="1:11" s="236" customFormat="1" ht="20.25" customHeight="1">
      <c r="A49" s="215" t="s">
        <v>244</v>
      </c>
      <c r="B49" s="197" t="s">
        <v>248</v>
      </c>
      <c r="C49" s="198"/>
      <c r="D49" s="235" t="s">
        <v>241</v>
      </c>
      <c r="E49" s="502" t="s">
        <v>231</v>
      </c>
      <c r="F49" s="200" t="s">
        <v>235</v>
      </c>
      <c r="G49" s="201">
        <f>G50+G51+G52+G53</f>
        <v>10000</v>
      </c>
      <c r="H49" s="201"/>
      <c r="I49" s="201">
        <f>I50+I51+I52+I53</f>
        <v>10000</v>
      </c>
      <c r="K49" s="237"/>
    </row>
    <row r="50" spans="1:11" s="236" customFormat="1" ht="15">
      <c r="A50" s="203"/>
      <c r="B50" s="204" t="s">
        <v>262</v>
      </c>
      <c r="C50" s="198"/>
      <c r="D50" s="235"/>
      <c r="E50" s="502"/>
      <c r="F50" s="206" t="s">
        <v>236</v>
      </c>
      <c r="G50" s="207">
        <f>H50+I50</f>
        <v>3000</v>
      </c>
      <c r="H50" s="207"/>
      <c r="I50" s="207">
        <v>3000</v>
      </c>
      <c r="K50" s="237"/>
    </row>
    <row r="51" spans="1:11" s="236" customFormat="1" ht="21" customHeight="1">
      <c r="A51" s="203"/>
      <c r="B51" s="204" t="s">
        <v>263</v>
      </c>
      <c r="C51" s="198"/>
      <c r="D51" s="235"/>
      <c r="E51" s="502"/>
      <c r="F51" s="206" t="s">
        <v>226</v>
      </c>
      <c r="G51" s="207">
        <f>H51+I51</f>
        <v>0</v>
      </c>
      <c r="H51" s="207"/>
      <c r="I51" s="207">
        <v>0</v>
      </c>
      <c r="K51" s="237"/>
    </row>
    <row r="52" spans="1:11" s="236" customFormat="1" ht="15.75" customHeight="1">
      <c r="A52" s="203"/>
      <c r="B52" s="504" t="s">
        <v>267</v>
      </c>
      <c r="C52" s="198"/>
      <c r="D52" s="235"/>
      <c r="E52" s="502"/>
      <c r="F52" s="206" t="s">
        <v>227</v>
      </c>
      <c r="G52" s="207">
        <f>H52+I52</f>
        <v>0</v>
      </c>
      <c r="H52" s="207"/>
      <c r="I52" s="207">
        <v>0</v>
      </c>
      <c r="K52" s="237"/>
    </row>
    <row r="53" spans="1:11" s="236" customFormat="1" ht="18.75" customHeight="1" thickBot="1">
      <c r="A53" s="209"/>
      <c r="B53" s="505"/>
      <c r="C53" s="210"/>
      <c r="D53" s="238"/>
      <c r="E53" s="503"/>
      <c r="F53" s="212" t="s">
        <v>237</v>
      </c>
      <c r="G53" s="213">
        <f>H53+I53</f>
        <v>7000</v>
      </c>
      <c r="H53" s="213"/>
      <c r="I53" s="213">
        <v>7000</v>
      </c>
      <c r="K53" s="237"/>
    </row>
    <row r="54" spans="1:11" s="236" customFormat="1" ht="20.25" customHeight="1">
      <c r="A54" s="215" t="s">
        <v>245</v>
      </c>
      <c r="B54" s="197" t="s">
        <v>248</v>
      </c>
      <c r="C54" s="198"/>
      <c r="D54" s="235" t="s">
        <v>230</v>
      </c>
      <c r="E54" s="502" t="s">
        <v>231</v>
      </c>
      <c r="F54" s="200" t="s">
        <v>235</v>
      </c>
      <c r="G54" s="201">
        <f>G55+G56+G57+G58</f>
        <v>10512</v>
      </c>
      <c r="H54" s="201"/>
      <c r="I54" s="201">
        <f>I55+I56+I57+I58</f>
        <v>10512</v>
      </c>
      <c r="K54" s="237"/>
    </row>
    <row r="55" spans="1:11" s="236" customFormat="1" ht="15">
      <c r="A55" s="203"/>
      <c r="B55" s="204" t="s">
        <v>262</v>
      </c>
      <c r="C55" s="198"/>
      <c r="D55" s="235"/>
      <c r="E55" s="502"/>
      <c r="F55" s="206" t="s">
        <v>236</v>
      </c>
      <c r="G55" s="207">
        <f>H55+I55</f>
        <v>4529</v>
      </c>
      <c r="H55" s="207"/>
      <c r="I55" s="207">
        <v>4529</v>
      </c>
      <c r="K55" s="237"/>
    </row>
    <row r="56" spans="1:11" s="236" customFormat="1" ht="21" customHeight="1">
      <c r="A56" s="203"/>
      <c r="B56" s="204" t="s">
        <v>263</v>
      </c>
      <c r="C56" s="198"/>
      <c r="D56" s="235"/>
      <c r="E56" s="502"/>
      <c r="F56" s="206" t="s">
        <v>226</v>
      </c>
      <c r="G56" s="207">
        <f>H56+I56</f>
        <v>0</v>
      </c>
      <c r="H56" s="207"/>
      <c r="I56" s="207">
        <v>0</v>
      </c>
      <c r="K56" s="237"/>
    </row>
    <row r="57" spans="1:11" s="236" customFormat="1" ht="15.75" customHeight="1">
      <c r="A57" s="203"/>
      <c r="B57" s="504" t="s">
        <v>268</v>
      </c>
      <c r="C57" s="198"/>
      <c r="D57" s="235"/>
      <c r="E57" s="502"/>
      <c r="F57" s="206" t="s">
        <v>227</v>
      </c>
      <c r="G57" s="207">
        <f>H57+I57</f>
        <v>0</v>
      </c>
      <c r="H57" s="207"/>
      <c r="I57" s="207">
        <v>0</v>
      </c>
      <c r="K57" s="237"/>
    </row>
    <row r="58" spans="1:11" s="236" customFormat="1" ht="18.75" customHeight="1" thickBot="1">
      <c r="A58" s="209"/>
      <c r="B58" s="505"/>
      <c r="C58" s="210"/>
      <c r="D58" s="238"/>
      <c r="E58" s="503"/>
      <c r="F58" s="212" t="s">
        <v>237</v>
      </c>
      <c r="G58" s="213">
        <f>H58+I58</f>
        <v>5983</v>
      </c>
      <c r="H58" s="213"/>
      <c r="I58" s="213">
        <v>5983</v>
      </c>
      <c r="K58" s="237"/>
    </row>
    <row r="59" spans="1:11" s="236" customFormat="1" ht="20.25" customHeight="1">
      <c r="A59" s="215" t="s">
        <v>246</v>
      </c>
      <c r="B59" s="197" t="s">
        <v>248</v>
      </c>
      <c r="C59" s="198"/>
      <c r="D59" s="235" t="s">
        <v>241</v>
      </c>
      <c r="E59" s="502" t="s">
        <v>223</v>
      </c>
      <c r="F59" s="200" t="s">
        <v>235</v>
      </c>
      <c r="G59" s="201">
        <f>G60+G61+G62+G63</f>
        <v>10905</v>
      </c>
      <c r="H59" s="201"/>
      <c r="I59" s="201">
        <f>I60+I61+I62+I63</f>
        <v>6500</v>
      </c>
      <c r="K59" s="237"/>
    </row>
    <row r="60" spans="1:11" s="236" customFormat="1" ht="15">
      <c r="A60" s="203"/>
      <c r="B60" s="204" t="s">
        <v>262</v>
      </c>
      <c r="C60" s="198"/>
      <c r="D60" s="235"/>
      <c r="E60" s="502"/>
      <c r="F60" s="206" t="s">
        <v>236</v>
      </c>
      <c r="G60" s="207">
        <v>3429</v>
      </c>
      <c r="H60" s="207"/>
      <c r="I60" s="207">
        <v>1950</v>
      </c>
      <c r="K60" s="237"/>
    </row>
    <row r="61" spans="1:11" s="236" customFormat="1" ht="21" customHeight="1">
      <c r="A61" s="203"/>
      <c r="B61" s="204" t="s">
        <v>263</v>
      </c>
      <c r="C61" s="198"/>
      <c r="D61" s="235"/>
      <c r="E61" s="502"/>
      <c r="F61" s="206" t="s">
        <v>226</v>
      </c>
      <c r="G61" s="207">
        <f>H61+I61</f>
        <v>0</v>
      </c>
      <c r="H61" s="207"/>
      <c r="I61" s="207">
        <v>0</v>
      </c>
      <c r="K61" s="237"/>
    </row>
    <row r="62" spans="1:11" s="236" customFormat="1" ht="15.75" customHeight="1">
      <c r="A62" s="203"/>
      <c r="B62" s="504" t="s">
        <v>269</v>
      </c>
      <c r="C62" s="198"/>
      <c r="D62" s="235"/>
      <c r="E62" s="502"/>
      <c r="F62" s="206" t="s">
        <v>227</v>
      </c>
      <c r="G62" s="207">
        <f>H62+I62</f>
        <v>0</v>
      </c>
      <c r="H62" s="207"/>
      <c r="I62" s="207">
        <v>0</v>
      </c>
      <c r="K62" s="237"/>
    </row>
    <row r="63" spans="1:11" s="236" customFormat="1" ht="18.75" customHeight="1" thickBot="1">
      <c r="A63" s="209"/>
      <c r="B63" s="505"/>
      <c r="C63" s="210"/>
      <c r="D63" s="238"/>
      <c r="E63" s="503"/>
      <c r="F63" s="212" t="s">
        <v>237</v>
      </c>
      <c r="G63" s="213">
        <v>7476</v>
      </c>
      <c r="H63" s="213"/>
      <c r="I63" s="213">
        <v>4550</v>
      </c>
      <c r="K63" s="237"/>
    </row>
    <row r="64" spans="1:11" s="236" customFormat="1" ht="20.25" customHeight="1">
      <c r="A64" s="215" t="s">
        <v>247</v>
      </c>
      <c r="B64" s="197" t="s">
        <v>248</v>
      </c>
      <c r="C64" s="198"/>
      <c r="D64" s="235" t="s">
        <v>241</v>
      </c>
      <c r="E64" s="502" t="s">
        <v>231</v>
      </c>
      <c r="F64" s="200" t="s">
        <v>235</v>
      </c>
      <c r="G64" s="201">
        <f>G65+G66+G67+G68</f>
        <v>7338</v>
      </c>
      <c r="H64" s="201"/>
      <c r="I64" s="201">
        <f>I65+I66+I67+I68</f>
        <v>7338</v>
      </c>
      <c r="K64" s="237"/>
    </row>
    <row r="65" spans="1:11" s="236" customFormat="1" ht="15">
      <c r="A65" s="203"/>
      <c r="B65" s="204" t="s">
        <v>262</v>
      </c>
      <c r="C65" s="198"/>
      <c r="D65" s="235"/>
      <c r="E65" s="502"/>
      <c r="F65" s="206" t="s">
        <v>236</v>
      </c>
      <c r="G65" s="207">
        <f>H65+I65</f>
        <v>2455</v>
      </c>
      <c r="H65" s="207"/>
      <c r="I65" s="207">
        <v>2455</v>
      </c>
      <c r="K65" s="237"/>
    </row>
    <row r="66" spans="1:11" s="236" customFormat="1" ht="21" customHeight="1">
      <c r="A66" s="203"/>
      <c r="B66" s="204" t="s">
        <v>263</v>
      </c>
      <c r="C66" s="198"/>
      <c r="D66" s="235"/>
      <c r="E66" s="502"/>
      <c r="F66" s="206" t="s">
        <v>226</v>
      </c>
      <c r="G66" s="207">
        <f>H66+I66</f>
        <v>0</v>
      </c>
      <c r="H66" s="207"/>
      <c r="I66" s="207">
        <v>0</v>
      </c>
      <c r="K66" s="237"/>
    </row>
    <row r="67" spans="1:11" s="236" customFormat="1" ht="15.75" customHeight="1">
      <c r="A67" s="203"/>
      <c r="B67" s="504" t="s">
        <v>270</v>
      </c>
      <c r="C67" s="198"/>
      <c r="D67" s="235"/>
      <c r="E67" s="502"/>
      <c r="F67" s="206" t="s">
        <v>227</v>
      </c>
      <c r="G67" s="207">
        <f>H67+I67</f>
        <v>0</v>
      </c>
      <c r="H67" s="207"/>
      <c r="I67" s="207">
        <v>0</v>
      </c>
      <c r="K67" s="237"/>
    </row>
    <row r="68" spans="1:11" s="236" customFormat="1" ht="18.75" customHeight="1" thickBot="1">
      <c r="A68" s="209"/>
      <c r="B68" s="505"/>
      <c r="C68" s="210"/>
      <c r="D68" s="238"/>
      <c r="E68" s="503"/>
      <c r="F68" s="212" t="s">
        <v>237</v>
      </c>
      <c r="G68" s="213">
        <f>H68+I68</f>
        <v>4883</v>
      </c>
      <c r="H68" s="213"/>
      <c r="I68" s="213">
        <v>4883</v>
      </c>
      <c r="K68" s="237"/>
    </row>
    <row r="69" spans="1:9" s="195" customFormat="1" ht="22.5" customHeight="1" thickBot="1">
      <c r="A69" s="239"/>
      <c r="B69" s="240"/>
      <c r="C69" s="240"/>
      <c r="D69" s="240"/>
      <c r="E69" s="240"/>
      <c r="F69" s="241" t="s">
        <v>62</v>
      </c>
      <c r="G69" s="194">
        <f>G7+G23</f>
        <v>5807454</v>
      </c>
      <c r="H69" s="194">
        <f>H7+H23</f>
        <v>181135.74</v>
      </c>
      <c r="I69" s="194">
        <f>I7+I23</f>
        <v>1873793.69</v>
      </c>
    </row>
    <row r="70" spans="1:9" s="195" customFormat="1" ht="212.25" customHeight="1">
      <c r="A70" s="242"/>
      <c r="B70" s="236"/>
      <c r="C70" s="236"/>
      <c r="D70" s="236"/>
      <c r="E70" s="236"/>
      <c r="F70" s="243"/>
      <c r="G70" s="244"/>
      <c r="H70" s="244"/>
      <c r="I70" s="245"/>
    </row>
    <row r="71" spans="2:9" ht="12.75">
      <c r="B71" s="247"/>
      <c r="C71" s="247"/>
      <c r="D71" s="247"/>
      <c r="E71" s="247"/>
      <c r="F71" s="247"/>
      <c r="G71" s="248"/>
      <c r="H71" s="247"/>
      <c r="I71" s="249"/>
    </row>
  </sheetData>
  <mergeCells count="35">
    <mergeCell ref="E24:E28"/>
    <mergeCell ref="B27:B28"/>
    <mergeCell ref="E18:E22"/>
    <mergeCell ref="B21:B22"/>
    <mergeCell ref="A1:I1"/>
    <mergeCell ref="A3:A5"/>
    <mergeCell ref="B3:B5"/>
    <mergeCell ref="C3:C5"/>
    <mergeCell ref="D3:D5"/>
    <mergeCell ref="F4:F5"/>
    <mergeCell ref="G4:G5"/>
    <mergeCell ref="F3:H3"/>
    <mergeCell ref="E3:E5"/>
    <mergeCell ref="I3:I5"/>
    <mergeCell ref="E13:E17"/>
    <mergeCell ref="B16:B17"/>
    <mergeCell ref="B11:B12"/>
    <mergeCell ref="H4:H5"/>
    <mergeCell ref="E8:E12"/>
    <mergeCell ref="E29:E33"/>
    <mergeCell ref="B32:B33"/>
    <mergeCell ref="E44:E48"/>
    <mergeCell ref="B47:B48"/>
    <mergeCell ref="E34:E38"/>
    <mergeCell ref="B37:B38"/>
    <mergeCell ref="E39:E43"/>
    <mergeCell ref="B42:B43"/>
    <mergeCell ref="E49:E53"/>
    <mergeCell ref="B52:B53"/>
    <mergeCell ref="E54:E58"/>
    <mergeCell ref="B57:B58"/>
    <mergeCell ref="E59:E63"/>
    <mergeCell ref="B62:B63"/>
    <mergeCell ref="E64:E68"/>
    <mergeCell ref="B67:B68"/>
  </mergeCells>
  <printOptions horizontalCentered="1"/>
  <pageMargins left="0.4330708661417323" right="0.4330708661417323" top="0.74" bottom="0.4330708661417323" header="0.35" footer="0.2362204724409449"/>
  <pageSetup fitToHeight="1" fitToWidth="1" horizontalDpi="600" verticalDpi="600" orientation="portrait" paperSize="9" scale="57" r:id="rId1"/>
  <headerFooter alignWithMargins="0">
    <oddHeader>&amp;R&amp;"Arial CE,Pogrubiony"&amp;9Załącznik Nr &amp;A&amp;"Arial CE,Standardowy"
do Uchwały Nr XXIV/146/2012 
Rady Gminy Miłkowice
z dnia 28 września 2012r.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zoomScale="90" zoomScaleNormal="90" workbookViewId="0" topLeftCell="A7">
      <selection activeCell="F34" sqref="F34"/>
    </sheetView>
  </sheetViews>
  <sheetFormatPr defaultColWidth="9.33203125" defaultRowHeight="12.75"/>
  <cols>
    <col min="1" max="1" width="4.33203125" style="255" customWidth="1"/>
    <col min="2" max="2" width="8.83203125" style="255" customWidth="1"/>
    <col min="3" max="3" width="10.83203125" style="255" customWidth="1"/>
    <col min="4" max="4" width="21.5" style="255" customWidth="1"/>
    <col min="5" max="5" width="26.5" style="255" customWidth="1"/>
    <col min="6" max="6" width="30.83203125" style="255" customWidth="1"/>
    <col min="7" max="7" width="16" style="255" customWidth="1"/>
    <col min="8" max="8" width="2.16015625" style="255" customWidth="1"/>
    <col min="9" max="9" width="15.33203125" style="255" customWidth="1"/>
    <col min="10" max="16384" width="10" style="255" customWidth="1"/>
  </cols>
  <sheetData>
    <row r="1" spans="1:7" ht="24" customHeight="1">
      <c r="A1" s="529" t="s">
        <v>271</v>
      </c>
      <c r="B1" s="529"/>
      <c r="C1" s="529"/>
      <c r="D1" s="529"/>
      <c r="E1" s="529"/>
      <c r="F1" s="529"/>
      <c r="G1" s="529"/>
    </row>
    <row r="2" ht="4.5" customHeight="1">
      <c r="G2" s="256"/>
    </row>
    <row r="3" spans="1:7" s="259" customFormat="1" ht="22.5" customHeight="1">
      <c r="A3" s="257" t="s">
        <v>108</v>
      </c>
      <c r="B3" s="257" t="s">
        <v>1</v>
      </c>
      <c r="C3" s="257" t="s">
        <v>2</v>
      </c>
      <c r="D3" s="257" t="s">
        <v>272</v>
      </c>
      <c r="E3" s="257" t="s">
        <v>273</v>
      </c>
      <c r="F3" s="257" t="s">
        <v>274</v>
      </c>
      <c r="G3" s="258" t="s">
        <v>275</v>
      </c>
    </row>
    <row r="4" spans="1:7" ht="7.5" customHeight="1">
      <c r="A4" s="260">
        <v>1</v>
      </c>
      <c r="B4" s="260">
        <v>2</v>
      </c>
      <c r="C4" s="260">
        <v>3</v>
      </c>
      <c r="D4" s="260"/>
      <c r="E4" s="260">
        <v>4</v>
      </c>
      <c r="F4" s="260">
        <v>5</v>
      </c>
      <c r="G4" s="260">
        <v>6</v>
      </c>
    </row>
    <row r="5" spans="1:7" ht="15" customHeight="1">
      <c r="A5" s="261" t="s">
        <v>276</v>
      </c>
      <c r="B5" s="262"/>
      <c r="C5" s="262"/>
      <c r="D5" s="262"/>
      <c r="E5" s="262"/>
      <c r="F5" s="262"/>
      <c r="G5" s="263">
        <f>G6</f>
        <v>936000</v>
      </c>
    </row>
    <row r="6" spans="1:7" ht="15.75" customHeight="1">
      <c r="A6" s="264" t="s">
        <v>277</v>
      </c>
      <c r="B6" s="265"/>
      <c r="C6" s="265"/>
      <c r="D6" s="265"/>
      <c r="E6" s="265"/>
      <c r="F6" s="265"/>
      <c r="G6" s="266">
        <f>SUM(G7:G13)</f>
        <v>936000</v>
      </c>
    </row>
    <row r="7" spans="1:256" ht="30" customHeight="1">
      <c r="A7" s="267">
        <v>1</v>
      </c>
      <c r="B7" s="268" t="s">
        <v>105</v>
      </c>
      <c r="C7" s="268" t="s">
        <v>106</v>
      </c>
      <c r="D7" s="269" t="s">
        <v>278</v>
      </c>
      <c r="E7" s="531" t="s">
        <v>279</v>
      </c>
      <c r="F7" s="270" t="s">
        <v>331</v>
      </c>
      <c r="G7" s="271">
        <f>204320-320</f>
        <v>204000</v>
      </c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2"/>
      <c r="FF7" s="272"/>
      <c r="FG7" s="272"/>
      <c r="FH7" s="272"/>
      <c r="FI7" s="272"/>
      <c r="FJ7" s="272"/>
      <c r="FK7" s="272"/>
      <c r="FL7" s="272"/>
      <c r="FM7" s="272"/>
      <c r="FN7" s="272"/>
      <c r="FO7" s="272"/>
      <c r="FP7" s="272"/>
      <c r="FQ7" s="272"/>
      <c r="FR7" s="272"/>
      <c r="FS7" s="272"/>
      <c r="FT7" s="272"/>
      <c r="FU7" s="272"/>
      <c r="FV7" s="272"/>
      <c r="FW7" s="272"/>
      <c r="FX7" s="272"/>
      <c r="FY7" s="272"/>
      <c r="FZ7" s="272"/>
      <c r="GA7" s="272"/>
      <c r="GB7" s="272"/>
      <c r="GC7" s="272"/>
      <c r="GD7" s="272"/>
      <c r="GE7" s="272"/>
      <c r="GF7" s="272"/>
      <c r="GG7" s="272"/>
      <c r="GH7" s="272"/>
      <c r="GI7" s="272"/>
      <c r="GJ7" s="272"/>
      <c r="GK7" s="272"/>
      <c r="GL7" s="272"/>
      <c r="GM7" s="272"/>
      <c r="GN7" s="272"/>
      <c r="GO7" s="272"/>
      <c r="GP7" s="272"/>
      <c r="GQ7" s="272"/>
      <c r="GR7" s="272"/>
      <c r="GS7" s="272"/>
      <c r="GT7" s="272"/>
      <c r="GU7" s="272"/>
      <c r="GV7" s="272"/>
      <c r="GW7" s="272"/>
      <c r="GX7" s="272"/>
      <c r="GY7" s="272"/>
      <c r="GZ7" s="272"/>
      <c r="HA7" s="272"/>
      <c r="HB7" s="272"/>
      <c r="HC7" s="272"/>
      <c r="HD7" s="272"/>
      <c r="HE7" s="272"/>
      <c r="HF7" s="272"/>
      <c r="HG7" s="272"/>
      <c r="HH7" s="272"/>
      <c r="HI7" s="272"/>
      <c r="HJ7" s="272"/>
      <c r="HK7" s="272"/>
      <c r="HL7" s="272"/>
      <c r="HM7" s="272"/>
      <c r="HN7" s="272"/>
      <c r="HO7" s="272"/>
      <c r="HP7" s="272"/>
      <c r="HQ7" s="272"/>
      <c r="HR7" s="272"/>
      <c r="HS7" s="272"/>
      <c r="HT7" s="272"/>
      <c r="HU7" s="272"/>
      <c r="HV7" s="272"/>
      <c r="HW7" s="272"/>
      <c r="HX7" s="272"/>
      <c r="HY7" s="272"/>
      <c r="HZ7" s="272"/>
      <c r="IA7" s="272"/>
      <c r="IB7" s="272"/>
      <c r="IC7" s="272"/>
      <c r="ID7" s="272"/>
      <c r="IE7" s="272"/>
      <c r="IF7" s="272"/>
      <c r="IG7" s="272"/>
      <c r="IH7" s="272"/>
      <c r="II7" s="272"/>
      <c r="IJ7" s="272"/>
      <c r="IK7" s="272"/>
      <c r="IL7" s="272"/>
      <c r="IM7" s="272"/>
      <c r="IN7" s="272"/>
      <c r="IO7" s="272"/>
      <c r="IP7" s="272"/>
      <c r="IQ7" s="272"/>
      <c r="IR7" s="272"/>
      <c r="IS7" s="272"/>
      <c r="IT7" s="272"/>
      <c r="IU7" s="272"/>
      <c r="IV7" s="272"/>
    </row>
    <row r="8" spans="1:256" ht="30" customHeight="1">
      <c r="A8" s="267">
        <v>2</v>
      </c>
      <c r="B8" s="273">
        <v>400</v>
      </c>
      <c r="C8" s="273">
        <v>40002</v>
      </c>
      <c r="D8" s="273" t="s">
        <v>280</v>
      </c>
      <c r="E8" s="532"/>
      <c r="F8" s="270" t="s">
        <v>332</v>
      </c>
      <c r="G8" s="271">
        <f>351200-200</f>
        <v>351000</v>
      </c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2"/>
      <c r="FK8" s="272"/>
      <c r="FL8" s="272"/>
      <c r="FM8" s="272"/>
      <c r="FN8" s="272"/>
      <c r="FO8" s="272"/>
      <c r="FP8" s="272"/>
      <c r="FQ8" s="272"/>
      <c r="FR8" s="272"/>
      <c r="FS8" s="272"/>
      <c r="FT8" s="272"/>
      <c r="FU8" s="272"/>
      <c r="FV8" s="272"/>
      <c r="FW8" s="272"/>
      <c r="FX8" s="272"/>
      <c r="FY8" s="272"/>
      <c r="FZ8" s="272"/>
      <c r="GA8" s="272"/>
      <c r="GB8" s="272"/>
      <c r="GC8" s="272"/>
      <c r="GD8" s="272"/>
      <c r="GE8" s="272"/>
      <c r="GF8" s="272"/>
      <c r="GG8" s="272"/>
      <c r="GH8" s="272"/>
      <c r="GI8" s="272"/>
      <c r="GJ8" s="272"/>
      <c r="GK8" s="272"/>
      <c r="GL8" s="272"/>
      <c r="GM8" s="272"/>
      <c r="GN8" s="272"/>
      <c r="GO8" s="272"/>
      <c r="GP8" s="272"/>
      <c r="GQ8" s="272"/>
      <c r="GR8" s="272"/>
      <c r="GS8" s="272"/>
      <c r="GT8" s="272"/>
      <c r="GU8" s="272"/>
      <c r="GV8" s="272"/>
      <c r="GW8" s="272"/>
      <c r="GX8" s="272"/>
      <c r="GY8" s="272"/>
      <c r="GZ8" s="272"/>
      <c r="HA8" s="272"/>
      <c r="HB8" s="272"/>
      <c r="HC8" s="272"/>
      <c r="HD8" s="272"/>
      <c r="HE8" s="272"/>
      <c r="HF8" s="272"/>
      <c r="HG8" s="272"/>
      <c r="HH8" s="272"/>
      <c r="HI8" s="272"/>
      <c r="HJ8" s="272"/>
      <c r="HK8" s="272"/>
      <c r="HL8" s="272"/>
      <c r="HM8" s="272"/>
      <c r="HN8" s="272"/>
      <c r="HO8" s="272"/>
      <c r="HP8" s="272"/>
      <c r="HQ8" s="272"/>
      <c r="HR8" s="272"/>
      <c r="HS8" s="272"/>
      <c r="HT8" s="272"/>
      <c r="HU8" s="272"/>
      <c r="HV8" s="272"/>
      <c r="HW8" s="272"/>
      <c r="HX8" s="272"/>
      <c r="HY8" s="272"/>
      <c r="HZ8" s="272"/>
      <c r="IA8" s="272"/>
      <c r="IB8" s="272"/>
      <c r="IC8" s="272"/>
      <c r="ID8" s="272"/>
      <c r="IE8" s="272"/>
      <c r="IF8" s="272"/>
      <c r="IG8" s="272"/>
      <c r="IH8" s="272"/>
      <c r="II8" s="272"/>
      <c r="IJ8" s="272"/>
      <c r="IK8" s="272"/>
      <c r="IL8" s="272"/>
      <c r="IM8" s="272"/>
      <c r="IN8" s="272"/>
      <c r="IO8" s="272"/>
      <c r="IP8" s="272"/>
      <c r="IQ8" s="272"/>
      <c r="IR8" s="272"/>
      <c r="IS8" s="272"/>
      <c r="IT8" s="272"/>
      <c r="IU8" s="272"/>
      <c r="IV8" s="272"/>
    </row>
    <row r="9" spans="1:256" ht="30" customHeight="1">
      <c r="A9" s="267">
        <v>3</v>
      </c>
      <c r="B9" s="273">
        <v>600</v>
      </c>
      <c r="C9" s="273">
        <v>60016</v>
      </c>
      <c r="D9" s="269" t="s">
        <v>281</v>
      </c>
      <c r="E9" s="532"/>
      <c r="F9" s="270" t="s">
        <v>282</v>
      </c>
      <c r="G9" s="271">
        <f>93000-22000+9000</f>
        <v>80000</v>
      </c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2"/>
      <c r="ES9" s="272"/>
      <c r="ET9" s="272"/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2"/>
      <c r="FF9" s="272"/>
      <c r="FG9" s="272"/>
      <c r="FH9" s="272"/>
      <c r="FI9" s="272"/>
      <c r="FJ9" s="272"/>
      <c r="FK9" s="272"/>
      <c r="FL9" s="272"/>
      <c r="FM9" s="272"/>
      <c r="FN9" s="272"/>
      <c r="FO9" s="272"/>
      <c r="FP9" s="272"/>
      <c r="FQ9" s="272"/>
      <c r="FR9" s="272"/>
      <c r="FS9" s="272"/>
      <c r="FT9" s="272"/>
      <c r="FU9" s="272"/>
      <c r="FV9" s="272"/>
      <c r="FW9" s="272"/>
      <c r="FX9" s="272"/>
      <c r="FY9" s="272"/>
      <c r="FZ9" s="272"/>
      <c r="GA9" s="272"/>
      <c r="GB9" s="272"/>
      <c r="GC9" s="272"/>
      <c r="GD9" s="272"/>
      <c r="GE9" s="272"/>
      <c r="GF9" s="272"/>
      <c r="GG9" s="272"/>
      <c r="GH9" s="272"/>
      <c r="GI9" s="272"/>
      <c r="GJ9" s="272"/>
      <c r="GK9" s="272"/>
      <c r="GL9" s="272"/>
      <c r="GM9" s="272"/>
      <c r="GN9" s="272"/>
      <c r="GO9" s="272"/>
      <c r="GP9" s="272"/>
      <c r="GQ9" s="272"/>
      <c r="GR9" s="272"/>
      <c r="GS9" s="272"/>
      <c r="GT9" s="272"/>
      <c r="GU9" s="272"/>
      <c r="GV9" s="272"/>
      <c r="GW9" s="272"/>
      <c r="GX9" s="272"/>
      <c r="GY9" s="272"/>
      <c r="GZ9" s="272"/>
      <c r="HA9" s="272"/>
      <c r="HB9" s="272"/>
      <c r="HC9" s="272"/>
      <c r="HD9" s="272"/>
      <c r="HE9" s="272"/>
      <c r="HF9" s="272"/>
      <c r="HG9" s="272"/>
      <c r="HH9" s="272"/>
      <c r="HI9" s="272"/>
      <c r="HJ9" s="272"/>
      <c r="HK9" s="272"/>
      <c r="HL9" s="272"/>
      <c r="HM9" s="272"/>
      <c r="HN9" s="272"/>
      <c r="HO9" s="272"/>
      <c r="HP9" s="272"/>
      <c r="HQ9" s="272"/>
      <c r="HR9" s="272"/>
      <c r="HS9" s="272"/>
      <c r="HT9" s="272"/>
      <c r="HU9" s="272"/>
      <c r="HV9" s="272"/>
      <c r="HW9" s="272"/>
      <c r="HX9" s="272"/>
      <c r="HY9" s="272"/>
      <c r="HZ9" s="272"/>
      <c r="IA9" s="272"/>
      <c r="IB9" s="272"/>
      <c r="IC9" s="272"/>
      <c r="ID9" s="272"/>
      <c r="IE9" s="272"/>
      <c r="IF9" s="272"/>
      <c r="IG9" s="272"/>
      <c r="IH9" s="272"/>
      <c r="II9" s="272"/>
      <c r="IJ9" s="272"/>
      <c r="IK9" s="272"/>
      <c r="IL9" s="272"/>
      <c r="IM9" s="272"/>
      <c r="IN9" s="272"/>
      <c r="IO9" s="272"/>
      <c r="IP9" s="272"/>
      <c r="IQ9" s="272"/>
      <c r="IR9" s="272"/>
      <c r="IS9" s="272"/>
      <c r="IT9" s="272"/>
      <c r="IU9" s="272"/>
      <c r="IV9" s="272"/>
    </row>
    <row r="10" spans="1:256" ht="30" customHeight="1">
      <c r="A10" s="267">
        <v>4</v>
      </c>
      <c r="B10" s="273">
        <v>700</v>
      </c>
      <c r="C10" s="273">
        <v>70004</v>
      </c>
      <c r="D10" s="274" t="s">
        <v>333</v>
      </c>
      <c r="E10" s="532"/>
      <c r="F10" s="275" t="s">
        <v>334</v>
      </c>
      <c r="G10" s="271">
        <f>70000-10000+9000</f>
        <v>69000</v>
      </c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2"/>
      <c r="FK10" s="272"/>
      <c r="FL10" s="272"/>
      <c r="FM10" s="272"/>
      <c r="FN10" s="272"/>
      <c r="FO10" s="272"/>
      <c r="FP10" s="272"/>
      <c r="FQ10" s="272"/>
      <c r="FR10" s="272"/>
      <c r="FS10" s="272"/>
      <c r="FT10" s="272"/>
      <c r="FU10" s="272"/>
      <c r="FV10" s="272"/>
      <c r="FW10" s="272"/>
      <c r="FX10" s="272"/>
      <c r="FY10" s="272"/>
      <c r="FZ10" s="272"/>
      <c r="GA10" s="272"/>
      <c r="GB10" s="272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  <c r="GN10" s="272"/>
      <c r="GO10" s="272"/>
      <c r="GP10" s="272"/>
      <c r="GQ10" s="272"/>
      <c r="GR10" s="272"/>
      <c r="GS10" s="272"/>
      <c r="GT10" s="272"/>
      <c r="GU10" s="272"/>
      <c r="GV10" s="272"/>
      <c r="GW10" s="272"/>
      <c r="GX10" s="272"/>
      <c r="GY10" s="272"/>
      <c r="GZ10" s="272"/>
      <c r="HA10" s="272"/>
      <c r="HB10" s="272"/>
      <c r="HC10" s="272"/>
      <c r="HD10" s="272"/>
      <c r="HE10" s="272"/>
      <c r="HF10" s="272"/>
      <c r="HG10" s="272"/>
      <c r="HH10" s="272"/>
      <c r="HI10" s="272"/>
      <c r="HJ10" s="272"/>
      <c r="HK10" s="272"/>
      <c r="HL10" s="272"/>
      <c r="HM10" s="272"/>
      <c r="HN10" s="272"/>
      <c r="HO10" s="272"/>
      <c r="HP10" s="272"/>
      <c r="HQ10" s="272"/>
      <c r="HR10" s="272"/>
      <c r="HS10" s="272"/>
      <c r="HT10" s="272"/>
      <c r="HU10" s="272"/>
      <c r="HV10" s="272"/>
      <c r="HW10" s="272"/>
      <c r="HX10" s="272"/>
      <c r="HY10" s="272"/>
      <c r="HZ10" s="272"/>
      <c r="IA10" s="272"/>
      <c r="IB10" s="272"/>
      <c r="IC10" s="272"/>
      <c r="ID10" s="272"/>
      <c r="IE10" s="272"/>
      <c r="IF10" s="272"/>
      <c r="IG10" s="272"/>
      <c r="IH10" s="272"/>
      <c r="II10" s="272"/>
      <c r="IJ10" s="272"/>
      <c r="IK10" s="272"/>
      <c r="IL10" s="272"/>
      <c r="IM10" s="272"/>
      <c r="IN10" s="272"/>
      <c r="IO10" s="272"/>
      <c r="IP10" s="272"/>
      <c r="IQ10" s="272"/>
      <c r="IR10" s="272"/>
      <c r="IS10" s="272"/>
      <c r="IT10" s="272"/>
      <c r="IU10" s="272"/>
      <c r="IV10" s="272"/>
    </row>
    <row r="11" spans="1:256" ht="25.5">
      <c r="A11" s="276">
        <v>6</v>
      </c>
      <c r="B11" s="277">
        <v>801</v>
      </c>
      <c r="C11" s="277">
        <v>80113</v>
      </c>
      <c r="D11" s="269" t="s">
        <v>283</v>
      </c>
      <c r="E11" s="532"/>
      <c r="F11" s="278" t="s">
        <v>284</v>
      </c>
      <c r="G11" s="279">
        <f>189474.66+525.34</f>
        <v>190000</v>
      </c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  <c r="FL11" s="272"/>
      <c r="FM11" s="272"/>
      <c r="FN11" s="272"/>
      <c r="FO11" s="272"/>
      <c r="FP11" s="272"/>
      <c r="FQ11" s="272"/>
      <c r="FR11" s="272"/>
      <c r="FS11" s="272"/>
      <c r="FT11" s="272"/>
      <c r="FU11" s="272"/>
      <c r="FV11" s="272"/>
      <c r="FW11" s="272"/>
      <c r="FX11" s="272"/>
      <c r="FY11" s="272"/>
      <c r="FZ11" s="272"/>
      <c r="GA11" s="272"/>
      <c r="GB11" s="272"/>
      <c r="GC11" s="272"/>
      <c r="GD11" s="272"/>
      <c r="GE11" s="272"/>
      <c r="GF11" s="272"/>
      <c r="GG11" s="272"/>
      <c r="GH11" s="272"/>
      <c r="GI11" s="272"/>
      <c r="GJ11" s="272"/>
      <c r="GK11" s="272"/>
      <c r="GL11" s="272"/>
      <c r="GM11" s="272"/>
      <c r="GN11" s="272"/>
      <c r="GO11" s="272"/>
      <c r="GP11" s="272"/>
      <c r="GQ11" s="272"/>
      <c r="GR11" s="272"/>
      <c r="GS11" s="272"/>
      <c r="GT11" s="272"/>
      <c r="GU11" s="272"/>
      <c r="GV11" s="272"/>
      <c r="GW11" s="272"/>
      <c r="GX11" s="272"/>
      <c r="GY11" s="272"/>
      <c r="GZ11" s="272"/>
      <c r="HA11" s="272"/>
      <c r="HB11" s="272"/>
      <c r="HC11" s="272"/>
      <c r="HD11" s="272"/>
      <c r="HE11" s="272"/>
      <c r="HF11" s="272"/>
      <c r="HG11" s="272"/>
      <c r="HH11" s="272"/>
      <c r="HI11" s="272"/>
      <c r="HJ11" s="272"/>
      <c r="HK11" s="272"/>
      <c r="HL11" s="272"/>
      <c r="HM11" s="272"/>
      <c r="HN11" s="272"/>
      <c r="HO11" s="272"/>
      <c r="HP11" s="272"/>
      <c r="HQ11" s="272"/>
      <c r="HR11" s="272"/>
      <c r="HS11" s="272"/>
      <c r="HT11" s="272"/>
      <c r="HU11" s="272"/>
      <c r="HV11" s="272"/>
      <c r="HW11" s="272"/>
      <c r="HX11" s="272"/>
      <c r="HY11" s="272"/>
      <c r="HZ11" s="272"/>
      <c r="IA11" s="272"/>
      <c r="IB11" s="272"/>
      <c r="IC11" s="272"/>
      <c r="ID11" s="272"/>
      <c r="IE11" s="272"/>
      <c r="IF11" s="272"/>
      <c r="IG11" s="272"/>
      <c r="IH11" s="272"/>
      <c r="II11" s="272"/>
      <c r="IJ11" s="272"/>
      <c r="IK11" s="272"/>
      <c r="IL11" s="272"/>
      <c r="IM11" s="272"/>
      <c r="IN11" s="272"/>
      <c r="IO11" s="272"/>
      <c r="IP11" s="272"/>
      <c r="IQ11" s="272"/>
      <c r="IR11" s="272"/>
      <c r="IS11" s="272"/>
      <c r="IT11" s="272"/>
      <c r="IU11" s="272"/>
      <c r="IV11" s="272"/>
    </row>
    <row r="12" spans="1:256" ht="38.25">
      <c r="A12" s="276">
        <v>7</v>
      </c>
      <c r="B12" s="277">
        <v>900</v>
      </c>
      <c r="C12" s="277">
        <v>90002</v>
      </c>
      <c r="D12" s="269" t="s">
        <v>285</v>
      </c>
      <c r="E12" s="532"/>
      <c r="F12" s="278" t="s">
        <v>286</v>
      </c>
      <c r="G12" s="279">
        <f>26070-70</f>
        <v>26000</v>
      </c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2"/>
      <c r="FK12" s="272"/>
      <c r="FL12" s="272"/>
      <c r="FM12" s="272"/>
      <c r="FN12" s="272"/>
      <c r="FO12" s="272"/>
      <c r="FP12" s="272"/>
      <c r="FQ12" s="272"/>
      <c r="FR12" s="272"/>
      <c r="FS12" s="272"/>
      <c r="FT12" s="272"/>
      <c r="FU12" s="272"/>
      <c r="FV12" s="272"/>
      <c r="FW12" s="272"/>
      <c r="FX12" s="272"/>
      <c r="FY12" s="272"/>
      <c r="FZ12" s="272"/>
      <c r="GA12" s="272"/>
      <c r="GB12" s="272"/>
      <c r="GC12" s="272"/>
      <c r="GD12" s="272"/>
      <c r="GE12" s="272"/>
      <c r="GF12" s="272"/>
      <c r="GG12" s="272"/>
      <c r="GH12" s="272"/>
      <c r="GI12" s="272"/>
      <c r="GJ12" s="272"/>
      <c r="GK12" s="272"/>
      <c r="GL12" s="272"/>
      <c r="GM12" s="272"/>
      <c r="GN12" s="272"/>
      <c r="GO12" s="272"/>
      <c r="GP12" s="272"/>
      <c r="GQ12" s="272"/>
      <c r="GR12" s="272"/>
      <c r="GS12" s="272"/>
      <c r="GT12" s="272"/>
      <c r="GU12" s="272"/>
      <c r="GV12" s="272"/>
      <c r="GW12" s="272"/>
      <c r="GX12" s="272"/>
      <c r="GY12" s="272"/>
      <c r="GZ12" s="272"/>
      <c r="HA12" s="272"/>
      <c r="HB12" s="272"/>
      <c r="HC12" s="272"/>
      <c r="HD12" s="272"/>
      <c r="HE12" s="272"/>
      <c r="HF12" s="272"/>
      <c r="HG12" s="272"/>
      <c r="HH12" s="272"/>
      <c r="HI12" s="272"/>
      <c r="HJ12" s="272"/>
      <c r="HK12" s="272"/>
      <c r="HL12" s="272"/>
      <c r="HM12" s="272"/>
      <c r="HN12" s="272"/>
      <c r="HO12" s="272"/>
      <c r="HP12" s="272"/>
      <c r="HQ12" s="272"/>
      <c r="HR12" s="272"/>
      <c r="HS12" s="272"/>
      <c r="HT12" s="272"/>
      <c r="HU12" s="272"/>
      <c r="HV12" s="272"/>
      <c r="HW12" s="272"/>
      <c r="HX12" s="272"/>
      <c r="HY12" s="272"/>
      <c r="HZ12" s="272"/>
      <c r="IA12" s="272"/>
      <c r="IB12" s="272"/>
      <c r="IC12" s="272"/>
      <c r="ID12" s="272"/>
      <c r="IE12" s="272"/>
      <c r="IF12" s="272"/>
      <c r="IG12" s="272"/>
      <c r="IH12" s="272"/>
      <c r="II12" s="272"/>
      <c r="IJ12" s="272"/>
      <c r="IK12" s="272"/>
      <c r="IL12" s="272"/>
      <c r="IM12" s="272"/>
      <c r="IN12" s="272"/>
      <c r="IO12" s="272"/>
      <c r="IP12" s="272"/>
      <c r="IQ12" s="272"/>
      <c r="IR12" s="272"/>
      <c r="IS12" s="272"/>
      <c r="IT12" s="272"/>
      <c r="IU12" s="272"/>
      <c r="IV12" s="272"/>
    </row>
    <row r="13" spans="1:256" ht="39" thickBot="1">
      <c r="A13" s="276">
        <v>8</v>
      </c>
      <c r="B13" s="277">
        <v>900</v>
      </c>
      <c r="C13" s="277">
        <v>90004</v>
      </c>
      <c r="D13" s="273" t="s">
        <v>287</v>
      </c>
      <c r="E13" s="533"/>
      <c r="F13" s="278" t="s">
        <v>288</v>
      </c>
      <c r="G13" s="279">
        <f>8000+8000</f>
        <v>16000</v>
      </c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72"/>
      <c r="FX13" s="272"/>
      <c r="FY13" s="272"/>
      <c r="FZ13" s="272"/>
      <c r="GA13" s="272"/>
      <c r="GB13" s="272"/>
      <c r="GC13" s="272"/>
      <c r="GD13" s="272"/>
      <c r="GE13" s="272"/>
      <c r="GF13" s="272"/>
      <c r="GG13" s="272"/>
      <c r="GH13" s="272"/>
      <c r="GI13" s="272"/>
      <c r="GJ13" s="272"/>
      <c r="GK13" s="272"/>
      <c r="GL13" s="272"/>
      <c r="GM13" s="272"/>
      <c r="GN13" s="272"/>
      <c r="GO13" s="272"/>
      <c r="GP13" s="272"/>
      <c r="GQ13" s="272"/>
      <c r="GR13" s="272"/>
      <c r="GS13" s="272"/>
      <c r="GT13" s="272"/>
      <c r="GU13" s="272"/>
      <c r="GV13" s="272"/>
      <c r="GW13" s="272"/>
      <c r="GX13" s="272"/>
      <c r="GY13" s="272"/>
      <c r="GZ13" s="272"/>
      <c r="HA13" s="272"/>
      <c r="HB13" s="272"/>
      <c r="HC13" s="272"/>
      <c r="HD13" s="272"/>
      <c r="HE13" s="272"/>
      <c r="HF13" s="272"/>
      <c r="HG13" s="272"/>
      <c r="HH13" s="272"/>
      <c r="HI13" s="272"/>
      <c r="HJ13" s="272"/>
      <c r="HK13" s="272"/>
      <c r="HL13" s="272"/>
      <c r="HM13" s="272"/>
      <c r="HN13" s="272"/>
      <c r="HO13" s="272"/>
      <c r="HP13" s="272"/>
      <c r="HQ13" s="272"/>
      <c r="HR13" s="272"/>
      <c r="HS13" s="272"/>
      <c r="HT13" s="272"/>
      <c r="HU13" s="272"/>
      <c r="HV13" s="272"/>
      <c r="HW13" s="272"/>
      <c r="HX13" s="272"/>
      <c r="HY13" s="272"/>
      <c r="HZ13" s="272"/>
      <c r="IA13" s="272"/>
      <c r="IB13" s="272"/>
      <c r="IC13" s="272"/>
      <c r="ID13" s="272"/>
      <c r="IE13" s="272"/>
      <c r="IF13" s="272"/>
      <c r="IG13" s="272"/>
      <c r="IH13" s="272"/>
      <c r="II13" s="272"/>
      <c r="IJ13" s="272"/>
      <c r="IK13" s="272"/>
      <c r="IL13" s="272"/>
      <c r="IM13" s="272"/>
      <c r="IN13" s="272"/>
      <c r="IO13" s="272"/>
      <c r="IP13" s="272"/>
      <c r="IQ13" s="272"/>
      <c r="IR13" s="272"/>
      <c r="IS13" s="272"/>
      <c r="IT13" s="272"/>
      <c r="IU13" s="272"/>
      <c r="IV13" s="272"/>
    </row>
    <row r="14" spans="1:7" ht="15.75" customHeight="1" thickBot="1">
      <c r="A14" s="280" t="s">
        <v>289</v>
      </c>
      <c r="B14" s="281"/>
      <c r="C14" s="281"/>
      <c r="D14" s="281"/>
      <c r="E14" s="281"/>
      <c r="F14" s="281"/>
      <c r="G14" s="282">
        <f>G15+G20</f>
        <v>685476.4</v>
      </c>
    </row>
    <row r="15" spans="1:7" ht="15.75" customHeight="1">
      <c r="A15" s="264" t="s">
        <v>290</v>
      </c>
      <c r="B15" s="265"/>
      <c r="C15" s="265"/>
      <c r="D15" s="265"/>
      <c r="E15" s="265"/>
      <c r="F15" s="265"/>
      <c r="G15" s="266">
        <f>SUM(G16:G19)</f>
        <v>485000</v>
      </c>
    </row>
    <row r="16" spans="1:7" ht="36.75" customHeight="1">
      <c r="A16" s="276">
        <v>1</v>
      </c>
      <c r="B16" s="277">
        <v>921</v>
      </c>
      <c r="C16" s="277">
        <v>92109</v>
      </c>
      <c r="D16" s="283" t="s">
        <v>101</v>
      </c>
      <c r="E16" s="278" t="s">
        <v>291</v>
      </c>
      <c r="F16" s="278" t="s">
        <v>292</v>
      </c>
      <c r="G16" s="279">
        <f>208000+60000</f>
        <v>268000</v>
      </c>
    </row>
    <row r="17" spans="1:7" ht="30" customHeight="1">
      <c r="A17" s="276">
        <v>2</v>
      </c>
      <c r="B17" s="277">
        <v>921</v>
      </c>
      <c r="C17" s="277">
        <v>92116</v>
      </c>
      <c r="D17" s="277" t="s">
        <v>293</v>
      </c>
      <c r="E17" s="278" t="s">
        <v>291</v>
      </c>
      <c r="F17" s="278" t="s">
        <v>294</v>
      </c>
      <c r="G17" s="279">
        <v>184000</v>
      </c>
    </row>
    <row r="18" spans="1:7" ht="30" customHeight="1">
      <c r="A18" s="276">
        <v>3</v>
      </c>
      <c r="B18" s="277">
        <v>921</v>
      </c>
      <c r="C18" s="277">
        <v>92195</v>
      </c>
      <c r="D18" s="283" t="s">
        <v>295</v>
      </c>
      <c r="E18" s="278" t="s">
        <v>291</v>
      </c>
      <c r="F18" s="278" t="s">
        <v>296</v>
      </c>
      <c r="G18" s="279">
        <v>25000</v>
      </c>
    </row>
    <row r="19" spans="1:8" ht="39" thickBot="1">
      <c r="A19" s="276">
        <v>4</v>
      </c>
      <c r="B19" s="277">
        <v>926</v>
      </c>
      <c r="C19" s="277">
        <v>92605</v>
      </c>
      <c r="D19" s="283" t="s">
        <v>297</v>
      </c>
      <c r="E19" s="278" t="s">
        <v>291</v>
      </c>
      <c r="F19" s="278" t="s">
        <v>298</v>
      </c>
      <c r="G19" s="279">
        <v>8000</v>
      </c>
      <c r="H19" s="284"/>
    </row>
    <row r="20" spans="1:7" ht="15.75" customHeight="1">
      <c r="A20" s="264" t="s">
        <v>299</v>
      </c>
      <c r="B20" s="265"/>
      <c r="C20" s="265"/>
      <c r="D20" s="265"/>
      <c r="E20" s="265"/>
      <c r="F20" s="265"/>
      <c r="G20" s="285">
        <f>G21+G22</f>
        <v>200476.4</v>
      </c>
    </row>
    <row r="21" spans="1:7" ht="51">
      <c r="A21" s="276">
        <v>1</v>
      </c>
      <c r="B21" s="277">
        <v>801</v>
      </c>
      <c r="C21" s="277">
        <v>80104</v>
      </c>
      <c r="D21" s="277" t="s">
        <v>300</v>
      </c>
      <c r="E21" s="278" t="s">
        <v>301</v>
      </c>
      <c r="F21" s="278" t="s">
        <v>302</v>
      </c>
      <c r="G21" s="286">
        <f>113760+7584+84647.8-10000</f>
        <v>195991.8</v>
      </c>
    </row>
    <row r="22" spans="1:7" ht="51">
      <c r="A22" s="276">
        <v>2</v>
      </c>
      <c r="B22" s="277">
        <v>854</v>
      </c>
      <c r="C22" s="277">
        <v>85404</v>
      </c>
      <c r="D22" s="277" t="s">
        <v>300</v>
      </c>
      <c r="E22" s="278" t="s">
        <v>301</v>
      </c>
      <c r="F22" s="278" t="s">
        <v>303</v>
      </c>
      <c r="G22" s="286">
        <f>4346.4+138.2</f>
        <v>4484.599999999999</v>
      </c>
    </row>
    <row r="23" spans="1:7" ht="15.75" customHeight="1">
      <c r="A23" s="280" t="s">
        <v>304</v>
      </c>
      <c r="B23" s="281"/>
      <c r="C23" s="281"/>
      <c r="D23" s="281"/>
      <c r="E23" s="281"/>
      <c r="F23" s="281"/>
      <c r="G23" s="287">
        <f>G24+G40</f>
        <v>892220.02</v>
      </c>
    </row>
    <row r="24" spans="1:7" ht="15.75" customHeight="1">
      <c r="A24" s="264" t="s">
        <v>305</v>
      </c>
      <c r="B24" s="265"/>
      <c r="C24" s="265"/>
      <c r="D24" s="265"/>
      <c r="E24" s="265"/>
      <c r="F24" s="265"/>
      <c r="G24" s="266">
        <f>SUM(G25:G39)</f>
        <v>680089.84</v>
      </c>
    </row>
    <row r="25" spans="1:7" ht="41.25" customHeight="1">
      <c r="A25" s="276">
        <v>1</v>
      </c>
      <c r="B25" s="277">
        <v>851</v>
      </c>
      <c r="C25" s="277">
        <v>85154</v>
      </c>
      <c r="D25" s="283" t="s">
        <v>306</v>
      </c>
      <c r="E25" s="278" t="s">
        <v>291</v>
      </c>
      <c r="F25" s="278" t="s">
        <v>307</v>
      </c>
      <c r="G25" s="279">
        <v>36000</v>
      </c>
    </row>
    <row r="26" spans="1:7" ht="41.25" customHeight="1">
      <c r="A26" s="276">
        <v>2</v>
      </c>
      <c r="B26" s="277">
        <v>851</v>
      </c>
      <c r="C26" s="277">
        <v>85121</v>
      </c>
      <c r="D26" s="283" t="s">
        <v>308</v>
      </c>
      <c r="E26" s="278" t="s">
        <v>309</v>
      </c>
      <c r="F26" s="278" t="s">
        <v>310</v>
      </c>
      <c r="G26" s="279">
        <v>20000</v>
      </c>
    </row>
    <row r="27" spans="1:7" ht="54" customHeight="1">
      <c r="A27" s="276">
        <v>3</v>
      </c>
      <c r="B27" s="277">
        <v>921</v>
      </c>
      <c r="C27" s="277">
        <v>92109</v>
      </c>
      <c r="D27" s="283" t="s">
        <v>101</v>
      </c>
      <c r="E27" s="278" t="s">
        <v>291</v>
      </c>
      <c r="F27" s="278" t="s">
        <v>335</v>
      </c>
      <c r="G27" s="279">
        <f>156742-39261-30666</f>
        <v>86815</v>
      </c>
    </row>
    <row r="28" spans="1:7" ht="66.75" customHeight="1">
      <c r="A28" s="288">
        <v>4</v>
      </c>
      <c r="B28" s="289" t="s">
        <v>105</v>
      </c>
      <c r="C28" s="289" t="s">
        <v>106</v>
      </c>
      <c r="D28" s="290" t="s">
        <v>90</v>
      </c>
      <c r="E28" s="291" t="s">
        <v>279</v>
      </c>
      <c r="F28" s="291" t="s">
        <v>336</v>
      </c>
      <c r="G28" s="292">
        <v>100710</v>
      </c>
    </row>
    <row r="29" spans="1:7" ht="53.25" customHeight="1">
      <c r="A29" s="276">
        <v>5</v>
      </c>
      <c r="B29" s="289" t="s">
        <v>105</v>
      </c>
      <c r="C29" s="289" t="s">
        <v>106</v>
      </c>
      <c r="D29" s="290" t="s">
        <v>90</v>
      </c>
      <c r="E29" s="291" t="s">
        <v>279</v>
      </c>
      <c r="F29" s="291" t="s">
        <v>337</v>
      </c>
      <c r="G29" s="292">
        <f>71000-21000</f>
        <v>50000</v>
      </c>
    </row>
    <row r="30" spans="1:7" ht="41.25" customHeight="1">
      <c r="A30" s="288">
        <v>6</v>
      </c>
      <c r="B30" s="289" t="s">
        <v>105</v>
      </c>
      <c r="C30" s="289" t="s">
        <v>106</v>
      </c>
      <c r="D30" s="290" t="s">
        <v>90</v>
      </c>
      <c r="E30" s="291" t="s">
        <v>279</v>
      </c>
      <c r="F30" s="293" t="s">
        <v>338</v>
      </c>
      <c r="G30" s="292">
        <v>15000</v>
      </c>
    </row>
    <row r="31" spans="1:7" ht="43.5" customHeight="1">
      <c r="A31" s="276">
        <v>7</v>
      </c>
      <c r="B31" s="289" t="s">
        <v>105</v>
      </c>
      <c r="C31" s="289" t="s">
        <v>106</v>
      </c>
      <c r="D31" s="290" t="s">
        <v>90</v>
      </c>
      <c r="E31" s="291" t="s">
        <v>279</v>
      </c>
      <c r="F31" s="293" t="s">
        <v>339</v>
      </c>
      <c r="G31" s="292">
        <f>30000-20000</f>
        <v>10000</v>
      </c>
    </row>
    <row r="32" spans="1:9" ht="55.5" customHeight="1">
      <c r="A32" s="288">
        <v>8</v>
      </c>
      <c r="B32" s="289" t="s">
        <v>105</v>
      </c>
      <c r="C32" s="289" t="s">
        <v>106</v>
      </c>
      <c r="D32" s="290" t="s">
        <v>90</v>
      </c>
      <c r="E32" s="291" t="s">
        <v>279</v>
      </c>
      <c r="F32" s="293" t="s">
        <v>340</v>
      </c>
      <c r="G32" s="292">
        <f>87000-25000</f>
        <v>62000</v>
      </c>
      <c r="I32" s="284"/>
    </row>
    <row r="33" spans="1:9" ht="68.25" customHeight="1">
      <c r="A33" s="276">
        <v>9</v>
      </c>
      <c r="B33" s="289" t="s">
        <v>105</v>
      </c>
      <c r="C33" s="289" t="s">
        <v>106</v>
      </c>
      <c r="D33" s="290" t="s">
        <v>90</v>
      </c>
      <c r="E33" s="291" t="s">
        <v>279</v>
      </c>
      <c r="F33" s="291" t="s">
        <v>456</v>
      </c>
      <c r="G33" s="292">
        <v>32000</v>
      </c>
      <c r="I33" s="284"/>
    </row>
    <row r="34" spans="1:9" ht="56.25" customHeight="1">
      <c r="A34" s="288">
        <v>10</v>
      </c>
      <c r="B34" s="289" t="s">
        <v>105</v>
      </c>
      <c r="C34" s="289" t="s">
        <v>106</v>
      </c>
      <c r="D34" s="290" t="s">
        <v>90</v>
      </c>
      <c r="E34" s="291" t="s">
        <v>279</v>
      </c>
      <c r="F34" s="291" t="s">
        <v>341</v>
      </c>
      <c r="G34" s="292">
        <f>35000-7000</f>
        <v>28000</v>
      </c>
      <c r="I34" s="284"/>
    </row>
    <row r="35" spans="1:7" ht="44.25" customHeight="1">
      <c r="A35" s="276">
        <v>11</v>
      </c>
      <c r="B35" s="294" t="s">
        <v>311</v>
      </c>
      <c r="C35" s="294" t="s">
        <v>312</v>
      </c>
      <c r="D35" s="290" t="s">
        <v>285</v>
      </c>
      <c r="E35" s="291" t="s">
        <v>279</v>
      </c>
      <c r="F35" s="293" t="s">
        <v>342</v>
      </c>
      <c r="G35" s="292">
        <v>8000</v>
      </c>
    </row>
    <row r="36" spans="1:7" ht="81" customHeight="1">
      <c r="A36" s="276">
        <v>12</v>
      </c>
      <c r="B36" s="289" t="s">
        <v>313</v>
      </c>
      <c r="C36" s="289" t="s">
        <v>314</v>
      </c>
      <c r="D36" s="290" t="s">
        <v>315</v>
      </c>
      <c r="E36" s="291" t="s">
        <v>279</v>
      </c>
      <c r="F36" s="291" t="s">
        <v>343</v>
      </c>
      <c r="G36" s="292">
        <v>8610</v>
      </c>
    </row>
    <row r="37" spans="1:7" ht="54" customHeight="1">
      <c r="A37" s="276">
        <v>13</v>
      </c>
      <c r="B37" s="277">
        <v>801</v>
      </c>
      <c r="C37" s="277">
        <v>80104</v>
      </c>
      <c r="D37" s="277" t="s">
        <v>300</v>
      </c>
      <c r="E37" s="278" t="s">
        <v>316</v>
      </c>
      <c r="F37" s="278" t="s">
        <v>317</v>
      </c>
      <c r="G37" s="279">
        <f>60000+12954.84</f>
        <v>72954.84</v>
      </c>
    </row>
    <row r="38" spans="1:7" ht="30.75" customHeight="1">
      <c r="A38" s="276">
        <v>14</v>
      </c>
      <c r="B38" s="277">
        <v>600</v>
      </c>
      <c r="C38" s="277">
        <v>60004</v>
      </c>
      <c r="D38" s="295" t="s">
        <v>318</v>
      </c>
      <c r="E38" s="296" t="s">
        <v>319</v>
      </c>
      <c r="F38" s="296" t="s">
        <v>320</v>
      </c>
      <c r="G38" s="279">
        <v>50000</v>
      </c>
    </row>
    <row r="39" spans="1:7" ht="66" customHeight="1" thickBot="1">
      <c r="A39" s="276">
        <v>15</v>
      </c>
      <c r="B39" s="277">
        <v>600</v>
      </c>
      <c r="C39" s="277">
        <v>60014</v>
      </c>
      <c r="D39" s="283" t="s">
        <v>92</v>
      </c>
      <c r="E39" s="278" t="s">
        <v>321</v>
      </c>
      <c r="F39" s="278" t="s">
        <v>344</v>
      </c>
      <c r="G39" s="279">
        <v>100000</v>
      </c>
    </row>
    <row r="40" spans="1:7" ht="15.75" customHeight="1">
      <c r="A40" s="264" t="s">
        <v>322</v>
      </c>
      <c r="B40" s="265"/>
      <c r="C40" s="265"/>
      <c r="D40" s="265"/>
      <c r="E40" s="265"/>
      <c r="F40" s="265"/>
      <c r="G40" s="285">
        <f>SUM(G41:G43)</f>
        <v>212130.18</v>
      </c>
    </row>
    <row r="41" spans="1:9" ht="38.25">
      <c r="A41" s="297">
        <v>1</v>
      </c>
      <c r="B41" s="298">
        <v>926</v>
      </c>
      <c r="C41" s="298">
        <v>92605</v>
      </c>
      <c r="D41" s="299" t="s">
        <v>297</v>
      </c>
      <c r="E41" s="299" t="s">
        <v>323</v>
      </c>
      <c r="F41" s="300" t="s">
        <v>324</v>
      </c>
      <c r="G41" s="301">
        <f>85000+5000</f>
        <v>90000</v>
      </c>
      <c r="I41" s="302">
        <f>G44-G29-G30-G31-G36-G32-G27-G33-G34-G43-G35-G28-G39</f>
        <v>1950831.2399999998</v>
      </c>
    </row>
    <row r="42" spans="1:7" s="307" customFormat="1" ht="40.5" customHeight="1">
      <c r="A42" s="303">
        <v>2</v>
      </c>
      <c r="B42" s="304">
        <v>921</v>
      </c>
      <c r="C42" s="304">
        <v>92120</v>
      </c>
      <c r="D42" s="305" t="s">
        <v>325</v>
      </c>
      <c r="E42" s="305" t="s">
        <v>326</v>
      </c>
      <c r="F42" s="305" t="s">
        <v>327</v>
      </c>
      <c r="G42" s="306">
        <f>20400+40000</f>
        <v>60400</v>
      </c>
    </row>
    <row r="43" spans="1:7" s="307" customFormat="1" ht="40.5" customHeight="1" thickBot="1">
      <c r="A43" s="308">
        <v>3</v>
      </c>
      <c r="B43" s="309">
        <v>754</v>
      </c>
      <c r="C43" s="309">
        <v>75412</v>
      </c>
      <c r="D43" s="310" t="s">
        <v>96</v>
      </c>
      <c r="E43" s="310" t="s">
        <v>326</v>
      </c>
      <c r="F43" s="311" t="s">
        <v>328</v>
      </c>
      <c r="G43" s="312">
        <f>20215+20757.59*2</f>
        <v>61730.18</v>
      </c>
    </row>
    <row r="44" spans="1:9" ht="19.5" customHeight="1" thickBot="1">
      <c r="A44" s="530" t="s">
        <v>329</v>
      </c>
      <c r="B44" s="530"/>
      <c r="C44" s="530"/>
      <c r="D44" s="530"/>
      <c r="E44" s="530"/>
      <c r="F44" s="530"/>
      <c r="G44" s="313">
        <f>G23+G14+G5</f>
        <v>2513696.42</v>
      </c>
      <c r="I44" s="302"/>
    </row>
    <row r="45" spans="1:9" ht="19.5" customHeight="1" thickBot="1">
      <c r="A45" s="534" t="s">
        <v>330</v>
      </c>
      <c r="B45" s="535"/>
      <c r="C45" s="535"/>
      <c r="D45" s="535"/>
      <c r="E45" s="535"/>
      <c r="F45" s="536"/>
      <c r="G45" s="313">
        <f>I41</f>
        <v>1950831.2399999998</v>
      </c>
      <c r="I45" s="302"/>
    </row>
    <row r="46" spans="2:8" ht="12.75">
      <c r="B46" s="314"/>
      <c r="D46" s="314"/>
      <c r="H46" s="284"/>
    </row>
  </sheetData>
  <mergeCells count="4">
    <mergeCell ref="A1:G1"/>
    <mergeCell ref="A44:F44"/>
    <mergeCell ref="E7:E13"/>
    <mergeCell ref="A45:F45"/>
  </mergeCells>
  <printOptions horizontalCentered="1"/>
  <pageMargins left="0.7874015748031497" right="0.7874015748031497" top="0.7874015748031497" bottom="0.54" header="0.1968503937007874" footer="0.28"/>
  <pageSetup fitToHeight="2" fitToWidth="1" horizontalDpi="600" verticalDpi="600" orientation="portrait" paperSize="9" scale="91" r:id="rId1"/>
  <headerFooter alignWithMargins="0">
    <oddHeader>&amp;R&amp;"Arial CE,Pogrubiony"Załącznik Nr &amp;A&amp;"Arial CE,Standardowy"
do Uchwały Nr XXIV/146/2012 
      Rady Gminy Miłkowice
z dnia 28 września 2012r.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72"/>
  <sheetViews>
    <sheetView zoomScale="80" zoomScaleNormal="80" workbookViewId="0" topLeftCell="A4">
      <selection activeCell="A4" sqref="A4:E4"/>
    </sheetView>
  </sheetViews>
  <sheetFormatPr defaultColWidth="9.33203125" defaultRowHeight="12.75"/>
  <cols>
    <col min="1" max="1" width="4" style="333" customWidth="1"/>
    <col min="2" max="2" width="17.66015625" style="333" customWidth="1"/>
    <col min="3" max="3" width="22.66015625" style="333" customWidth="1"/>
    <col min="4" max="4" width="49.83203125" style="333" customWidth="1"/>
    <col min="5" max="5" width="16.83203125" style="333" customWidth="1"/>
    <col min="6" max="28" width="10.16015625" style="333" hidden="1" customWidth="1"/>
    <col min="29" max="29" width="14.5" style="333" hidden="1" customWidth="1"/>
    <col min="30" max="30" width="16.66015625" style="333" hidden="1" customWidth="1"/>
    <col min="31" max="40" width="10" style="333" hidden="1" customWidth="1"/>
    <col min="41" max="16384" width="10" style="333" customWidth="1"/>
  </cols>
  <sheetData>
    <row r="1" ht="6" customHeight="1"/>
    <row r="2" spans="1:29" ht="25.5" customHeight="1">
      <c r="A2" s="571" t="s">
        <v>353</v>
      </c>
      <c r="B2" s="571"/>
      <c r="C2" s="571"/>
      <c r="D2" s="571"/>
      <c r="E2" s="571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</row>
    <row r="3" spans="1:29" ht="12.75" customHeight="1" thickBot="1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</row>
    <row r="4" spans="1:40" ht="71.25" customHeight="1" thickBot="1">
      <c r="A4" s="400" t="s">
        <v>108</v>
      </c>
      <c r="B4" s="401" t="s">
        <v>354</v>
      </c>
      <c r="C4" s="401" t="s">
        <v>355</v>
      </c>
      <c r="D4" s="401" t="s">
        <v>356</v>
      </c>
      <c r="E4" s="401" t="s">
        <v>357</v>
      </c>
      <c r="F4" s="336" t="s">
        <v>358</v>
      </c>
      <c r="G4" s="336" t="s">
        <v>359</v>
      </c>
      <c r="H4" s="336" t="s">
        <v>360</v>
      </c>
      <c r="I4" s="336" t="s">
        <v>361</v>
      </c>
      <c r="J4" s="336" t="s">
        <v>362</v>
      </c>
      <c r="K4" s="336" t="s">
        <v>363</v>
      </c>
      <c r="L4" s="336" t="s">
        <v>451</v>
      </c>
      <c r="M4" s="336" t="s">
        <v>364</v>
      </c>
      <c r="N4" s="336" t="s">
        <v>365</v>
      </c>
      <c r="O4" s="336" t="s">
        <v>366</v>
      </c>
      <c r="P4" s="336" t="s">
        <v>367</v>
      </c>
      <c r="Q4" s="336" t="s">
        <v>368</v>
      </c>
      <c r="R4" s="336" t="s">
        <v>369</v>
      </c>
      <c r="S4" s="336" t="s">
        <v>370</v>
      </c>
      <c r="T4" s="336" t="s">
        <v>371</v>
      </c>
      <c r="U4" s="336" t="s">
        <v>372</v>
      </c>
      <c r="V4" s="336" t="s">
        <v>373</v>
      </c>
      <c r="W4" s="336" t="s">
        <v>374</v>
      </c>
      <c r="X4" s="336" t="s">
        <v>375</v>
      </c>
      <c r="Y4" s="336" t="s">
        <v>376</v>
      </c>
      <c r="Z4" s="336" t="s">
        <v>377</v>
      </c>
      <c r="AA4" s="336" t="s">
        <v>378</v>
      </c>
      <c r="AB4" s="336" t="s">
        <v>379</v>
      </c>
      <c r="AC4" s="337" t="s">
        <v>380</v>
      </c>
      <c r="AD4" s="338"/>
      <c r="AF4" s="339"/>
      <c r="AG4" s="340" t="s">
        <v>381</v>
      </c>
      <c r="AH4" s="339">
        <v>60016</v>
      </c>
      <c r="AI4" s="339">
        <v>75412</v>
      </c>
      <c r="AJ4" s="339">
        <v>90004</v>
      </c>
      <c r="AK4" s="339">
        <v>90008</v>
      </c>
      <c r="AL4" s="339">
        <v>92109</v>
      </c>
      <c r="AM4" s="339">
        <v>92195</v>
      </c>
      <c r="AN4" s="339"/>
    </row>
    <row r="5" spans="1:40" ht="29.25" customHeight="1" thickBot="1">
      <c r="A5" s="341">
        <v>1</v>
      </c>
      <c r="B5" s="342" t="s">
        <v>382</v>
      </c>
      <c r="C5" s="343">
        <v>6157</v>
      </c>
      <c r="D5" s="344" t="s">
        <v>383</v>
      </c>
      <c r="E5" s="345">
        <f aca="true" t="shared" si="0" ref="E5:E52">AC5</f>
        <v>6157</v>
      </c>
      <c r="F5" s="345"/>
      <c r="G5" s="345"/>
      <c r="H5" s="345"/>
      <c r="I5" s="345">
        <v>6157</v>
      </c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6">
        <f aca="true" t="shared" si="1" ref="AC5:AC34">SUM(F5:Y5)</f>
        <v>6157</v>
      </c>
      <c r="AD5" s="347">
        <f>AC5</f>
        <v>6157</v>
      </c>
      <c r="AF5" s="339"/>
      <c r="AG5" s="340"/>
      <c r="AH5" s="339"/>
      <c r="AI5" s="339"/>
      <c r="AJ5" s="339"/>
      <c r="AK5" s="339"/>
      <c r="AL5" s="339"/>
      <c r="AM5" s="339"/>
      <c r="AN5" s="339"/>
    </row>
    <row r="6" spans="1:40" ht="23.25" customHeight="1" thickBot="1">
      <c r="A6" s="547">
        <v>2</v>
      </c>
      <c r="B6" s="548" t="s">
        <v>384</v>
      </c>
      <c r="C6" s="549">
        <v>7049</v>
      </c>
      <c r="D6" s="350" t="s">
        <v>385</v>
      </c>
      <c r="E6" s="351">
        <f t="shared" si="0"/>
        <v>4500</v>
      </c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>
        <v>4500</v>
      </c>
      <c r="Y6" s="351"/>
      <c r="Z6" s="351"/>
      <c r="AA6" s="351"/>
      <c r="AB6" s="351"/>
      <c r="AC6" s="346">
        <f t="shared" si="1"/>
        <v>4500</v>
      </c>
      <c r="AD6" s="544">
        <f>AC6+AC7</f>
        <v>6500</v>
      </c>
      <c r="AF6" s="339">
        <v>4210</v>
      </c>
      <c r="AG6" s="340"/>
      <c r="AH6" s="339"/>
      <c r="AI6" s="339">
        <f>1500</f>
        <v>1500</v>
      </c>
      <c r="AJ6" s="339">
        <f>2000+500+500-2000</f>
        <v>1000</v>
      </c>
      <c r="AK6" s="339">
        <f>128+1000</f>
        <v>1128</v>
      </c>
      <c r="AL6" s="339">
        <f>2157+2783+1200+500+1500+2000+7000+200</f>
        <v>17340</v>
      </c>
      <c r="AM6" s="339">
        <f>1900+1000+2500+1500+1500</f>
        <v>8400</v>
      </c>
      <c r="AN6" s="339"/>
    </row>
    <row r="7" spans="1:40" ht="28.5" customHeight="1" thickBot="1">
      <c r="A7" s="547"/>
      <c r="B7" s="548"/>
      <c r="C7" s="549"/>
      <c r="D7" s="352" t="s">
        <v>386</v>
      </c>
      <c r="E7" s="353">
        <f t="shared" si="0"/>
        <v>2000</v>
      </c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>
        <v>2000</v>
      </c>
      <c r="X7" s="353"/>
      <c r="Y7" s="353"/>
      <c r="Z7" s="353"/>
      <c r="AA7" s="353"/>
      <c r="AB7" s="353"/>
      <c r="AC7" s="354">
        <f t="shared" si="1"/>
        <v>2000</v>
      </c>
      <c r="AD7" s="545"/>
      <c r="AF7" s="339">
        <v>4300</v>
      </c>
      <c r="AG7" s="339">
        <f>4000</f>
        <v>4000</v>
      </c>
      <c r="AH7" s="339">
        <f>4500+2197+2000</f>
        <v>8697</v>
      </c>
      <c r="AI7" s="339"/>
      <c r="AJ7" s="339"/>
      <c r="AK7" s="339"/>
      <c r="AL7" s="339"/>
      <c r="AM7" s="339">
        <f>3000+1000+2000+1000+1500+1000+1300+1100+1000</f>
        <v>12900</v>
      </c>
      <c r="AN7" s="339"/>
    </row>
    <row r="8" spans="1:40" ht="32.25" customHeight="1" thickBot="1">
      <c r="A8" s="547">
        <v>3</v>
      </c>
      <c r="B8" s="548" t="s">
        <v>387</v>
      </c>
      <c r="C8" s="549">
        <v>12660</v>
      </c>
      <c r="D8" s="355" t="s">
        <v>388</v>
      </c>
      <c r="E8" s="351">
        <f t="shared" si="0"/>
        <v>2000</v>
      </c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>
        <v>2000</v>
      </c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46">
        <f t="shared" si="1"/>
        <v>2000</v>
      </c>
      <c r="AD8" s="544">
        <f>AC8+AC9+AC10+AC11</f>
        <v>12660</v>
      </c>
      <c r="AF8" s="356" t="s">
        <v>389</v>
      </c>
      <c r="AG8" s="356">
        <f aca="true" t="shared" si="2" ref="AG8:AM8">SUM(AG6:AG7)</f>
        <v>4000</v>
      </c>
      <c r="AH8" s="356">
        <f t="shared" si="2"/>
        <v>8697</v>
      </c>
      <c r="AI8" s="356">
        <f t="shared" si="2"/>
        <v>1500</v>
      </c>
      <c r="AJ8" s="356">
        <f t="shared" si="2"/>
        <v>1000</v>
      </c>
      <c r="AK8" s="356">
        <f t="shared" si="2"/>
        <v>1128</v>
      </c>
      <c r="AL8" s="356">
        <f t="shared" si="2"/>
        <v>17340</v>
      </c>
      <c r="AM8" s="356">
        <f t="shared" si="2"/>
        <v>21300</v>
      </c>
      <c r="AN8" s="356">
        <f aca="true" t="shared" si="3" ref="AN8:AN15">SUM(AG8:AM8)</f>
        <v>54965</v>
      </c>
    </row>
    <row r="9" spans="1:40" ht="19.5" customHeight="1" thickBot="1">
      <c r="A9" s="547"/>
      <c r="B9" s="548"/>
      <c r="C9" s="549"/>
      <c r="D9" s="357" t="s">
        <v>390</v>
      </c>
      <c r="E9" s="358">
        <f t="shared" si="0"/>
        <v>2000</v>
      </c>
      <c r="F9" s="358"/>
      <c r="G9" s="358"/>
      <c r="H9" s="358"/>
      <c r="I9" s="358"/>
      <c r="J9" s="358"/>
      <c r="K9" s="358"/>
      <c r="L9" s="358"/>
      <c r="M9" s="358"/>
      <c r="N9" s="358"/>
      <c r="O9" s="358">
        <v>2000</v>
      </c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9">
        <f t="shared" si="1"/>
        <v>2000</v>
      </c>
      <c r="AD9" s="545"/>
      <c r="AF9" s="339">
        <v>6050</v>
      </c>
      <c r="AG9" s="339"/>
      <c r="AH9" s="339">
        <f>3500+17231</f>
        <v>20731</v>
      </c>
      <c r="AI9" s="339">
        <v>3700</v>
      </c>
      <c r="AJ9" s="339">
        <f>5500+8500</f>
        <v>14000</v>
      </c>
      <c r="AK9" s="339"/>
      <c r="AL9" s="339">
        <f>4000+6199+5400+6075+18200+7240+5095-200-75</f>
        <v>51934</v>
      </c>
      <c r="AM9" s="339">
        <f>4000+7000+4200+5000-7000</f>
        <v>13200</v>
      </c>
      <c r="AN9" s="339">
        <f t="shared" si="3"/>
        <v>103565</v>
      </c>
    </row>
    <row r="10" spans="1:40" ht="18.75" customHeight="1" thickBot="1">
      <c r="A10" s="547"/>
      <c r="B10" s="548"/>
      <c r="C10" s="549"/>
      <c r="D10" s="357" t="s">
        <v>391</v>
      </c>
      <c r="E10" s="358">
        <f t="shared" si="0"/>
        <v>660</v>
      </c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>
        <v>660</v>
      </c>
      <c r="W10" s="358"/>
      <c r="X10" s="358"/>
      <c r="Y10" s="358"/>
      <c r="Z10" s="358"/>
      <c r="AA10" s="358"/>
      <c r="AB10" s="358"/>
      <c r="AC10" s="359">
        <f t="shared" si="1"/>
        <v>660</v>
      </c>
      <c r="AD10" s="545"/>
      <c r="AF10" s="339">
        <v>6050</v>
      </c>
      <c r="AG10" s="339"/>
      <c r="AH10" s="339">
        <f>3500+17231</f>
        <v>20731</v>
      </c>
      <c r="AI10" s="339">
        <v>3700</v>
      </c>
      <c r="AJ10" s="339">
        <f>5500+8500</f>
        <v>14000</v>
      </c>
      <c r="AK10" s="339"/>
      <c r="AL10" s="339">
        <f>4000+6199+5400+6075+18200+7240+5095-200-75</f>
        <v>51934</v>
      </c>
      <c r="AM10" s="339">
        <f>4000+7000+4200+5000-7000</f>
        <v>13200</v>
      </c>
      <c r="AN10" s="339">
        <f t="shared" si="3"/>
        <v>103565</v>
      </c>
    </row>
    <row r="11" spans="1:40" ht="28.5" customHeight="1" thickBot="1">
      <c r="A11" s="547"/>
      <c r="B11" s="548"/>
      <c r="C11" s="549"/>
      <c r="D11" s="352" t="s">
        <v>392</v>
      </c>
      <c r="E11" s="353">
        <f t="shared" si="0"/>
        <v>8000</v>
      </c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>
        <v>8000</v>
      </c>
      <c r="Y11" s="353"/>
      <c r="Z11" s="353"/>
      <c r="AA11" s="353"/>
      <c r="AB11" s="353"/>
      <c r="AC11" s="360">
        <f t="shared" si="1"/>
        <v>8000</v>
      </c>
      <c r="AD11" s="545"/>
      <c r="AF11" s="356" t="s">
        <v>393</v>
      </c>
      <c r="AG11" s="356">
        <f aca="true" t="shared" si="4" ref="AG11:AM11">SUM(AG8:AG9)</f>
        <v>4000</v>
      </c>
      <c r="AH11" s="356">
        <f t="shared" si="4"/>
        <v>29428</v>
      </c>
      <c r="AI11" s="356">
        <f t="shared" si="4"/>
        <v>5200</v>
      </c>
      <c r="AJ11" s="356">
        <f t="shared" si="4"/>
        <v>15000</v>
      </c>
      <c r="AK11" s="356">
        <f t="shared" si="4"/>
        <v>1128</v>
      </c>
      <c r="AL11" s="356">
        <f t="shared" si="4"/>
        <v>69274</v>
      </c>
      <c r="AM11" s="356">
        <f t="shared" si="4"/>
        <v>34500</v>
      </c>
      <c r="AN11" s="356">
        <f t="shared" si="3"/>
        <v>158530</v>
      </c>
    </row>
    <row r="12" spans="1:40" ht="28.5" customHeight="1" thickBot="1">
      <c r="A12" s="547">
        <v>3</v>
      </c>
      <c r="B12" s="548" t="s">
        <v>394</v>
      </c>
      <c r="C12" s="549">
        <v>6533</v>
      </c>
      <c r="D12" s="357" t="s">
        <v>395</v>
      </c>
      <c r="E12" s="351">
        <f t="shared" si="0"/>
        <v>2500</v>
      </c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>
        <v>2500</v>
      </c>
      <c r="X12" s="351"/>
      <c r="Y12" s="351"/>
      <c r="Z12" s="351"/>
      <c r="AA12" s="351"/>
      <c r="AB12" s="351"/>
      <c r="AC12" s="346">
        <f t="shared" si="1"/>
        <v>2500</v>
      </c>
      <c r="AD12" s="544">
        <f>AC12+AC13+AC14+AC15</f>
        <v>6533</v>
      </c>
      <c r="AF12" s="356" t="s">
        <v>389</v>
      </c>
      <c r="AG12" s="356">
        <f aca="true" t="shared" si="5" ref="AG12:AM12">SUM(AG10:AG11)</f>
        <v>4000</v>
      </c>
      <c r="AH12" s="356">
        <f t="shared" si="5"/>
        <v>50159</v>
      </c>
      <c r="AI12" s="356">
        <f t="shared" si="5"/>
        <v>8900</v>
      </c>
      <c r="AJ12" s="356">
        <f t="shared" si="5"/>
        <v>29000</v>
      </c>
      <c r="AK12" s="356">
        <f t="shared" si="5"/>
        <v>1128</v>
      </c>
      <c r="AL12" s="356">
        <f t="shared" si="5"/>
        <v>121208</v>
      </c>
      <c r="AM12" s="356">
        <f t="shared" si="5"/>
        <v>47700</v>
      </c>
      <c r="AN12" s="356">
        <f t="shared" si="3"/>
        <v>262095</v>
      </c>
    </row>
    <row r="13" spans="1:40" ht="19.5" customHeight="1" thickBot="1">
      <c r="A13" s="547"/>
      <c r="B13" s="548"/>
      <c r="C13" s="549"/>
      <c r="D13" s="357" t="s">
        <v>396</v>
      </c>
      <c r="E13" s="358">
        <f t="shared" si="0"/>
        <v>1500</v>
      </c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>
        <v>1500</v>
      </c>
      <c r="W13" s="358"/>
      <c r="X13" s="358"/>
      <c r="Y13" s="358"/>
      <c r="Z13" s="358"/>
      <c r="AA13" s="358"/>
      <c r="AB13" s="358"/>
      <c r="AC13" s="359">
        <f t="shared" si="1"/>
        <v>1500</v>
      </c>
      <c r="AD13" s="545"/>
      <c r="AF13" s="339">
        <v>6050</v>
      </c>
      <c r="AG13" s="339"/>
      <c r="AH13" s="339">
        <f>3500+17231</f>
        <v>20731</v>
      </c>
      <c r="AI13" s="339">
        <v>3700</v>
      </c>
      <c r="AJ13" s="339">
        <f>5500+8500</f>
        <v>14000</v>
      </c>
      <c r="AK13" s="339"/>
      <c r="AL13" s="339">
        <f>4000+6199+5400+6075+18200+7240+5095-200-75</f>
        <v>51934</v>
      </c>
      <c r="AM13" s="339">
        <f>4000+7000+4200+5000-7000</f>
        <v>13200</v>
      </c>
      <c r="AN13" s="339">
        <f t="shared" si="3"/>
        <v>103565</v>
      </c>
    </row>
    <row r="14" spans="1:40" ht="18.75" customHeight="1" thickBot="1">
      <c r="A14" s="547"/>
      <c r="B14" s="548"/>
      <c r="C14" s="549"/>
      <c r="D14" s="361" t="s">
        <v>397</v>
      </c>
      <c r="E14" s="358">
        <f t="shared" si="0"/>
        <v>533</v>
      </c>
      <c r="F14" s="358"/>
      <c r="G14" s="358"/>
      <c r="H14" s="358">
        <v>533</v>
      </c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9">
        <f t="shared" si="1"/>
        <v>533</v>
      </c>
      <c r="AD14" s="545"/>
      <c r="AF14" s="339">
        <v>6050</v>
      </c>
      <c r="AG14" s="339"/>
      <c r="AH14" s="339">
        <f>3500+17231</f>
        <v>20731</v>
      </c>
      <c r="AI14" s="339">
        <v>3700</v>
      </c>
      <c r="AJ14" s="339">
        <f>5500+8500</f>
        <v>14000</v>
      </c>
      <c r="AK14" s="339"/>
      <c r="AL14" s="339">
        <f>4000+6199+5400+6075+18200+7240+5095-200-75</f>
        <v>51934</v>
      </c>
      <c r="AM14" s="339">
        <f>4000+7000+4200+5000-7000</f>
        <v>13200</v>
      </c>
      <c r="AN14" s="339">
        <f t="shared" si="3"/>
        <v>103565</v>
      </c>
    </row>
    <row r="15" spans="1:40" ht="22.5" customHeight="1" thickBot="1">
      <c r="A15" s="547"/>
      <c r="B15" s="548"/>
      <c r="C15" s="549"/>
      <c r="D15" s="352" t="s">
        <v>398</v>
      </c>
      <c r="E15" s="353">
        <f t="shared" si="0"/>
        <v>2000</v>
      </c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>
        <v>2000</v>
      </c>
      <c r="U15" s="353"/>
      <c r="V15" s="353"/>
      <c r="W15" s="353"/>
      <c r="X15" s="353"/>
      <c r="Y15" s="353"/>
      <c r="Z15" s="353"/>
      <c r="AA15" s="353"/>
      <c r="AB15" s="353"/>
      <c r="AC15" s="360">
        <f t="shared" si="1"/>
        <v>2000</v>
      </c>
      <c r="AD15" s="545"/>
      <c r="AF15" s="356" t="s">
        <v>393</v>
      </c>
      <c r="AG15" s="356">
        <f aca="true" t="shared" si="6" ref="AG15:AM15">SUM(AG12:AG13)</f>
        <v>4000</v>
      </c>
      <c r="AH15" s="356">
        <f t="shared" si="6"/>
        <v>70890</v>
      </c>
      <c r="AI15" s="356">
        <f t="shared" si="6"/>
        <v>12600</v>
      </c>
      <c r="AJ15" s="356">
        <f t="shared" si="6"/>
        <v>43000</v>
      </c>
      <c r="AK15" s="356">
        <f t="shared" si="6"/>
        <v>1128</v>
      </c>
      <c r="AL15" s="356">
        <f t="shared" si="6"/>
        <v>173142</v>
      </c>
      <c r="AM15" s="356">
        <f t="shared" si="6"/>
        <v>60900</v>
      </c>
      <c r="AN15" s="356">
        <f t="shared" si="3"/>
        <v>365660</v>
      </c>
    </row>
    <row r="16" spans="1:40" ht="18" customHeight="1" thickBot="1">
      <c r="A16" s="547">
        <v>5</v>
      </c>
      <c r="B16" s="548" t="s">
        <v>399</v>
      </c>
      <c r="C16" s="549">
        <v>17525</v>
      </c>
      <c r="D16" s="355" t="s">
        <v>400</v>
      </c>
      <c r="E16" s="351">
        <f t="shared" si="0"/>
        <v>600</v>
      </c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>
        <v>600</v>
      </c>
      <c r="W16" s="351"/>
      <c r="X16" s="351"/>
      <c r="Y16" s="351"/>
      <c r="Z16" s="351"/>
      <c r="AA16" s="351"/>
      <c r="AB16" s="351"/>
      <c r="AC16" s="346">
        <f t="shared" si="1"/>
        <v>600</v>
      </c>
      <c r="AD16" s="539">
        <f>AC16+AC17+AC18+AC19+AC20</f>
        <v>17525</v>
      </c>
      <c r="AN16" s="333" t="e">
        <f>#REF!-AN11</f>
        <v>#REF!</v>
      </c>
    </row>
    <row r="17" spans="1:30" ht="18" customHeight="1" thickBot="1">
      <c r="A17" s="547"/>
      <c r="B17" s="548"/>
      <c r="C17" s="549"/>
      <c r="D17" s="357" t="s">
        <v>401</v>
      </c>
      <c r="E17" s="358">
        <f t="shared" si="0"/>
        <v>600</v>
      </c>
      <c r="F17" s="362"/>
      <c r="G17" s="358"/>
      <c r="H17" s="358"/>
      <c r="I17" s="358"/>
      <c r="J17" s="358"/>
      <c r="K17" s="358"/>
      <c r="L17" s="358"/>
      <c r="M17" s="358"/>
      <c r="N17" s="358"/>
      <c r="O17" s="358">
        <v>600</v>
      </c>
      <c r="P17" s="358"/>
      <c r="Q17" s="358"/>
      <c r="R17" s="358"/>
      <c r="S17" s="358"/>
      <c r="T17" s="358"/>
      <c r="U17" s="358"/>
      <c r="V17" s="358"/>
      <c r="W17" s="358"/>
      <c r="X17" s="362"/>
      <c r="Y17" s="358"/>
      <c r="Z17" s="358"/>
      <c r="AA17" s="358"/>
      <c r="AB17" s="358"/>
      <c r="AC17" s="363">
        <f t="shared" si="1"/>
        <v>600</v>
      </c>
      <c r="AD17" s="540"/>
    </row>
    <row r="18" spans="1:30" ht="27" customHeight="1" thickBot="1">
      <c r="A18" s="547"/>
      <c r="B18" s="548"/>
      <c r="C18" s="549"/>
      <c r="D18" s="357" t="s">
        <v>402</v>
      </c>
      <c r="E18" s="358">
        <f t="shared" si="0"/>
        <v>2000</v>
      </c>
      <c r="F18" s="364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>
        <v>2000</v>
      </c>
      <c r="X18" s="364"/>
      <c r="Y18" s="358"/>
      <c r="Z18" s="358"/>
      <c r="AA18" s="358"/>
      <c r="AB18" s="358"/>
      <c r="AC18" s="363">
        <f t="shared" si="1"/>
        <v>2000</v>
      </c>
      <c r="AD18" s="540"/>
    </row>
    <row r="19" spans="1:30" ht="20.25" customHeight="1" thickBot="1">
      <c r="A19" s="547"/>
      <c r="B19" s="548"/>
      <c r="C19" s="549"/>
      <c r="D19" s="365" t="s">
        <v>403</v>
      </c>
      <c r="E19" s="358">
        <f t="shared" si="0"/>
        <v>500</v>
      </c>
      <c r="F19" s="362"/>
      <c r="G19" s="366"/>
      <c r="H19" s="366"/>
      <c r="I19" s="366"/>
      <c r="J19" s="366"/>
      <c r="K19" s="366"/>
      <c r="L19" s="366"/>
      <c r="M19" s="366">
        <v>500</v>
      </c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2"/>
      <c r="Y19" s="366"/>
      <c r="Z19" s="366"/>
      <c r="AA19" s="366"/>
      <c r="AB19" s="366"/>
      <c r="AC19" s="363">
        <f t="shared" si="1"/>
        <v>500</v>
      </c>
      <c r="AD19" s="540"/>
    </row>
    <row r="20" spans="1:30" ht="20.25" customHeight="1" thickBot="1">
      <c r="A20" s="547"/>
      <c r="B20" s="548"/>
      <c r="C20" s="549"/>
      <c r="D20" s="367" t="s">
        <v>404</v>
      </c>
      <c r="E20" s="353">
        <f t="shared" si="0"/>
        <v>13825</v>
      </c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>
        <v>13825</v>
      </c>
      <c r="U20" s="353"/>
      <c r="V20" s="353"/>
      <c r="W20" s="353"/>
      <c r="X20" s="353"/>
      <c r="Y20" s="353"/>
      <c r="Z20" s="353"/>
      <c r="AA20" s="353"/>
      <c r="AB20" s="353"/>
      <c r="AC20" s="368">
        <f t="shared" si="1"/>
        <v>13825</v>
      </c>
      <c r="AD20" s="541"/>
    </row>
    <row r="21" spans="1:30" ht="23.25" customHeight="1" thickBot="1">
      <c r="A21" s="547">
        <v>6</v>
      </c>
      <c r="B21" s="548" t="s">
        <v>405</v>
      </c>
      <c r="C21" s="549">
        <v>11601</v>
      </c>
      <c r="D21" s="355" t="s">
        <v>406</v>
      </c>
      <c r="E21" s="351">
        <f t="shared" si="0"/>
        <v>601</v>
      </c>
      <c r="F21" s="351"/>
      <c r="G21" s="351"/>
      <c r="H21" s="351"/>
      <c r="I21" s="351"/>
      <c r="J21" s="351">
        <v>601</v>
      </c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46">
        <f t="shared" si="1"/>
        <v>601</v>
      </c>
      <c r="AD21" s="539">
        <f>AC21+AC22+AC23</f>
        <v>11601</v>
      </c>
    </row>
    <row r="22" spans="1:30" ht="27" customHeight="1" thickBot="1">
      <c r="A22" s="547"/>
      <c r="B22" s="548"/>
      <c r="C22" s="549"/>
      <c r="D22" s="357" t="s">
        <v>407</v>
      </c>
      <c r="E22" s="358">
        <f t="shared" si="0"/>
        <v>4000</v>
      </c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58"/>
      <c r="S22" s="358"/>
      <c r="T22" s="358"/>
      <c r="U22" s="358"/>
      <c r="V22" s="358">
        <v>1500</v>
      </c>
      <c r="W22" s="358">
        <v>2500</v>
      </c>
      <c r="X22" s="358"/>
      <c r="Y22" s="358"/>
      <c r="Z22" s="358"/>
      <c r="AA22" s="358"/>
      <c r="AB22" s="358"/>
      <c r="AC22" s="363">
        <f t="shared" si="1"/>
        <v>4000</v>
      </c>
      <c r="AD22" s="540"/>
    </row>
    <row r="23" spans="1:30" ht="23.25" customHeight="1" thickBot="1">
      <c r="A23" s="550"/>
      <c r="B23" s="551"/>
      <c r="C23" s="552"/>
      <c r="D23" s="369" t="s">
        <v>408</v>
      </c>
      <c r="E23" s="370">
        <f t="shared" si="0"/>
        <v>7000</v>
      </c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70">
        <v>7000</v>
      </c>
      <c r="U23" s="370"/>
      <c r="V23" s="370"/>
      <c r="W23" s="370"/>
      <c r="X23" s="370"/>
      <c r="Y23" s="370"/>
      <c r="Z23" s="370"/>
      <c r="AA23" s="370"/>
      <c r="AB23" s="370"/>
      <c r="AC23" s="360">
        <f t="shared" si="1"/>
        <v>7000</v>
      </c>
      <c r="AD23" s="541"/>
    </row>
    <row r="24" spans="1:30" ht="27.75" customHeight="1" thickBot="1">
      <c r="A24" s="371">
        <v>7</v>
      </c>
      <c r="B24" s="372" t="s">
        <v>409</v>
      </c>
      <c r="C24" s="373">
        <v>7704</v>
      </c>
      <c r="D24" s="374" t="s">
        <v>410</v>
      </c>
      <c r="E24" s="373">
        <f t="shared" si="0"/>
        <v>5000</v>
      </c>
      <c r="F24" s="373">
        <v>5000</v>
      </c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5">
        <f t="shared" si="1"/>
        <v>5000</v>
      </c>
      <c r="AD24" s="376">
        <f>AC24</f>
        <v>5000</v>
      </c>
    </row>
    <row r="25" spans="1:30" ht="26.25" customHeight="1" thickBot="1">
      <c r="A25" s="371">
        <v>8</v>
      </c>
      <c r="B25" s="372" t="s">
        <v>411</v>
      </c>
      <c r="C25" s="373">
        <v>10520</v>
      </c>
      <c r="D25" s="374" t="s">
        <v>385</v>
      </c>
      <c r="E25" s="373">
        <f t="shared" si="0"/>
        <v>9000</v>
      </c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>
        <v>9000</v>
      </c>
      <c r="Y25" s="373"/>
      <c r="Z25" s="373"/>
      <c r="AA25" s="373"/>
      <c r="AB25" s="373"/>
      <c r="AC25" s="375">
        <f t="shared" si="1"/>
        <v>9000</v>
      </c>
      <c r="AD25" s="376">
        <f>AC25</f>
        <v>9000</v>
      </c>
    </row>
    <row r="26" spans="1:30" ht="26.25" customHeight="1" thickBot="1">
      <c r="A26" s="553">
        <v>9</v>
      </c>
      <c r="B26" s="555" t="s">
        <v>412</v>
      </c>
      <c r="C26" s="557">
        <v>22526</v>
      </c>
      <c r="D26" s="357" t="s">
        <v>413</v>
      </c>
      <c r="E26" s="366">
        <f t="shared" si="0"/>
        <v>6500</v>
      </c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>
        <v>6500</v>
      </c>
      <c r="W26" s="366"/>
      <c r="X26" s="366"/>
      <c r="Y26" s="366"/>
      <c r="Z26" s="366"/>
      <c r="AA26" s="366"/>
      <c r="AB26" s="366"/>
      <c r="AC26" s="359">
        <f t="shared" si="1"/>
        <v>6500</v>
      </c>
      <c r="AD26" s="539">
        <f>AC26+AC27+AC28+AC29+AC30</f>
        <v>22526</v>
      </c>
    </row>
    <row r="27" spans="1:30" ht="19.5" customHeight="1" thickBot="1">
      <c r="A27" s="553"/>
      <c r="B27" s="555"/>
      <c r="C27" s="557"/>
      <c r="D27" s="357" t="s">
        <v>414</v>
      </c>
      <c r="E27" s="358">
        <f t="shared" si="0"/>
        <v>1000</v>
      </c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>
        <v>1000</v>
      </c>
      <c r="Z27" s="358"/>
      <c r="AA27" s="358"/>
      <c r="AB27" s="358"/>
      <c r="AC27" s="359">
        <f t="shared" si="1"/>
        <v>1000</v>
      </c>
      <c r="AD27" s="540"/>
    </row>
    <row r="28" spans="1:30" ht="19.5" customHeight="1" thickBot="1">
      <c r="A28" s="553"/>
      <c r="B28" s="555"/>
      <c r="C28" s="557"/>
      <c r="D28" s="357" t="s">
        <v>415</v>
      </c>
      <c r="E28" s="358">
        <f t="shared" si="0"/>
        <v>1000</v>
      </c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>
        <v>1000</v>
      </c>
      <c r="T28" s="358"/>
      <c r="U28" s="358"/>
      <c r="V28" s="358"/>
      <c r="W28" s="358"/>
      <c r="X28" s="358"/>
      <c r="Y28" s="358"/>
      <c r="Z28" s="358"/>
      <c r="AA28" s="358"/>
      <c r="AB28" s="358"/>
      <c r="AC28" s="363">
        <f t="shared" si="1"/>
        <v>1000</v>
      </c>
      <c r="AD28" s="540"/>
    </row>
    <row r="29" spans="1:30" ht="19.5" customHeight="1" thickBot="1">
      <c r="A29" s="553"/>
      <c r="B29" s="555"/>
      <c r="C29" s="557"/>
      <c r="D29" s="357" t="s">
        <v>416</v>
      </c>
      <c r="E29" s="358">
        <f t="shared" si="0"/>
        <v>2500</v>
      </c>
      <c r="F29" s="358"/>
      <c r="G29" s="358"/>
      <c r="H29" s="358"/>
      <c r="I29" s="358"/>
      <c r="J29" s="358"/>
      <c r="K29" s="358">
        <v>2500</v>
      </c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  <c r="AA29" s="358"/>
      <c r="AB29" s="358"/>
      <c r="AC29" s="363">
        <f t="shared" si="1"/>
        <v>2500</v>
      </c>
      <c r="AD29" s="540"/>
    </row>
    <row r="30" spans="1:30" ht="19.5" customHeight="1" thickBot="1">
      <c r="A30" s="554"/>
      <c r="B30" s="556"/>
      <c r="C30" s="558"/>
      <c r="D30" s="367" t="s">
        <v>417</v>
      </c>
      <c r="E30" s="377">
        <f t="shared" si="0"/>
        <v>11526</v>
      </c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>
        <v>11526</v>
      </c>
      <c r="T30" s="353"/>
      <c r="U30" s="353"/>
      <c r="V30" s="353"/>
      <c r="W30" s="353"/>
      <c r="X30" s="353"/>
      <c r="Y30" s="353"/>
      <c r="Z30" s="353"/>
      <c r="AA30" s="353"/>
      <c r="AB30" s="353"/>
      <c r="AC30" s="354">
        <f t="shared" si="1"/>
        <v>11526</v>
      </c>
      <c r="AD30" s="541"/>
    </row>
    <row r="31" spans="1:40" ht="21.75" customHeight="1" thickBot="1">
      <c r="A31" s="547">
        <v>10</v>
      </c>
      <c r="B31" s="548" t="s">
        <v>418</v>
      </c>
      <c r="C31" s="549">
        <v>7839</v>
      </c>
      <c r="D31" s="378" t="s">
        <v>419</v>
      </c>
      <c r="E31" s="351">
        <f t="shared" si="0"/>
        <v>5539</v>
      </c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>
        <v>5539</v>
      </c>
      <c r="T31" s="351"/>
      <c r="U31" s="351"/>
      <c r="V31" s="351"/>
      <c r="W31" s="351"/>
      <c r="X31" s="351"/>
      <c r="Y31" s="351"/>
      <c r="Z31" s="351"/>
      <c r="AA31" s="351"/>
      <c r="AB31" s="351"/>
      <c r="AC31" s="346">
        <f t="shared" si="1"/>
        <v>5539</v>
      </c>
      <c r="AD31" s="544">
        <f>AC31+AC32+AC33</f>
        <v>7839</v>
      </c>
      <c r="AF31" s="356" t="s">
        <v>389</v>
      </c>
      <c r="AG31" s="356">
        <f aca="true" t="shared" si="7" ref="AG31:AM31">SUM(AG29:AG30)</f>
        <v>0</v>
      </c>
      <c r="AH31" s="356">
        <f t="shared" si="7"/>
        <v>0</v>
      </c>
      <c r="AI31" s="356">
        <f t="shared" si="7"/>
        <v>0</v>
      </c>
      <c r="AJ31" s="356">
        <f t="shared" si="7"/>
        <v>0</v>
      </c>
      <c r="AK31" s="356">
        <f t="shared" si="7"/>
        <v>0</v>
      </c>
      <c r="AL31" s="356">
        <f t="shared" si="7"/>
        <v>0</v>
      </c>
      <c r="AM31" s="356">
        <f t="shared" si="7"/>
        <v>0</v>
      </c>
      <c r="AN31" s="356">
        <f>SUM(AG31:AM31)</f>
        <v>0</v>
      </c>
    </row>
    <row r="32" spans="1:40" ht="25.5" customHeight="1" thickBot="1">
      <c r="A32" s="547"/>
      <c r="B32" s="548"/>
      <c r="C32" s="549"/>
      <c r="D32" s="361" t="s">
        <v>420</v>
      </c>
      <c r="E32" s="358">
        <f t="shared" si="0"/>
        <v>1300</v>
      </c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>
        <v>1300</v>
      </c>
      <c r="X32" s="358"/>
      <c r="Y32" s="358"/>
      <c r="Z32" s="358"/>
      <c r="AA32" s="358"/>
      <c r="AB32" s="358"/>
      <c r="AC32" s="359">
        <f t="shared" si="1"/>
        <v>1300</v>
      </c>
      <c r="AD32" s="545"/>
      <c r="AF32" s="339">
        <v>6050</v>
      </c>
      <c r="AG32" s="339"/>
      <c r="AH32" s="339">
        <f>3500+17231</f>
        <v>20731</v>
      </c>
      <c r="AI32" s="339">
        <v>3700</v>
      </c>
      <c r="AJ32" s="339">
        <f>5500+8500</f>
        <v>14000</v>
      </c>
      <c r="AK32" s="339"/>
      <c r="AL32" s="339">
        <f>4000+6199+5400+6075+18200+7240+5095-200-75</f>
        <v>51934</v>
      </c>
      <c r="AM32" s="339">
        <f>4000+7000+4200+5000-7000</f>
        <v>13200</v>
      </c>
      <c r="AN32" s="339">
        <f>SUM(AG32:AM32)</f>
        <v>103565</v>
      </c>
    </row>
    <row r="33" spans="1:40" ht="33" customHeight="1" thickBot="1">
      <c r="A33" s="547"/>
      <c r="B33" s="548"/>
      <c r="C33" s="549"/>
      <c r="D33" s="352" t="s">
        <v>421</v>
      </c>
      <c r="E33" s="353">
        <f t="shared" si="0"/>
        <v>1000</v>
      </c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>
        <v>1000</v>
      </c>
      <c r="W33" s="353"/>
      <c r="X33" s="353"/>
      <c r="Y33" s="353"/>
      <c r="Z33" s="353"/>
      <c r="AA33" s="353"/>
      <c r="AB33" s="353"/>
      <c r="AC33" s="360">
        <f t="shared" si="1"/>
        <v>1000</v>
      </c>
      <c r="AD33" s="545"/>
      <c r="AF33" s="356" t="s">
        <v>393</v>
      </c>
      <c r="AG33" s="356">
        <f aca="true" t="shared" si="8" ref="AG33:AM33">SUM(AG31:AG32)</f>
        <v>0</v>
      </c>
      <c r="AH33" s="356">
        <f t="shared" si="8"/>
        <v>20731</v>
      </c>
      <c r="AI33" s="356">
        <f t="shared" si="8"/>
        <v>3700</v>
      </c>
      <c r="AJ33" s="356">
        <f t="shared" si="8"/>
        <v>14000</v>
      </c>
      <c r="AK33" s="356">
        <f t="shared" si="8"/>
        <v>0</v>
      </c>
      <c r="AL33" s="356">
        <f t="shared" si="8"/>
        <v>51934</v>
      </c>
      <c r="AM33" s="356">
        <f t="shared" si="8"/>
        <v>13200</v>
      </c>
      <c r="AN33" s="356">
        <f>SUM(AG33:AM33)</f>
        <v>103565</v>
      </c>
    </row>
    <row r="34" spans="1:30" ht="28.5" customHeight="1" thickBot="1">
      <c r="A34" s="547">
        <v>11</v>
      </c>
      <c r="B34" s="560" t="s">
        <v>422</v>
      </c>
      <c r="C34" s="549">
        <v>22526</v>
      </c>
      <c r="D34" s="357" t="s">
        <v>423</v>
      </c>
      <c r="E34" s="351">
        <f t="shared" si="0"/>
        <v>5000</v>
      </c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>
        <v>5000</v>
      </c>
      <c r="T34" s="351"/>
      <c r="U34" s="351"/>
      <c r="V34" s="351"/>
      <c r="W34" s="351"/>
      <c r="X34" s="351"/>
      <c r="Y34" s="351"/>
      <c r="Z34" s="351"/>
      <c r="AA34" s="351"/>
      <c r="AB34" s="351"/>
      <c r="AC34" s="346">
        <f t="shared" si="1"/>
        <v>5000</v>
      </c>
      <c r="AD34" s="539">
        <f>AC34+AC35+AC36+AC37+AC38+AC39+AC40</f>
        <v>22526</v>
      </c>
    </row>
    <row r="35" spans="1:30" ht="19.5" customHeight="1" thickBot="1">
      <c r="A35" s="547"/>
      <c r="B35" s="560"/>
      <c r="C35" s="549"/>
      <c r="D35" s="379" t="s">
        <v>424</v>
      </c>
      <c r="E35" s="366">
        <f t="shared" si="0"/>
        <v>4800</v>
      </c>
      <c r="F35" s="366"/>
      <c r="G35" s="366"/>
      <c r="H35" s="366"/>
      <c r="I35" s="366"/>
      <c r="J35" s="366"/>
      <c r="K35" s="366"/>
      <c r="L35" s="366">
        <v>4800</v>
      </c>
      <c r="M35" s="366"/>
      <c r="N35" s="366"/>
      <c r="O35" s="366"/>
      <c r="P35" s="366"/>
      <c r="Q35" s="366"/>
      <c r="R35" s="366"/>
      <c r="S35" s="366"/>
      <c r="T35" s="366"/>
      <c r="U35" s="366"/>
      <c r="V35" s="366"/>
      <c r="W35" s="366"/>
      <c r="X35" s="366"/>
      <c r="Y35" s="366"/>
      <c r="Z35" s="366"/>
      <c r="AA35" s="366"/>
      <c r="AB35" s="366"/>
      <c r="AC35" s="363">
        <f>SUM(F35:AA35)</f>
        <v>4800</v>
      </c>
      <c r="AD35" s="540"/>
    </row>
    <row r="36" spans="1:30" ht="19.5" customHeight="1" thickBot="1">
      <c r="A36" s="547"/>
      <c r="B36" s="560"/>
      <c r="C36" s="549"/>
      <c r="D36" s="357" t="s">
        <v>425</v>
      </c>
      <c r="E36" s="358">
        <f t="shared" si="0"/>
        <v>1500</v>
      </c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  <c r="S36" s="358"/>
      <c r="T36" s="358"/>
      <c r="U36" s="358"/>
      <c r="V36" s="358">
        <v>1500</v>
      </c>
      <c r="W36" s="358"/>
      <c r="X36" s="358"/>
      <c r="Y36" s="358"/>
      <c r="Z36" s="358"/>
      <c r="AA36" s="358"/>
      <c r="AB36" s="358"/>
      <c r="AC36" s="363">
        <f>SUM(F36:AA36)</f>
        <v>1500</v>
      </c>
      <c r="AD36" s="540"/>
    </row>
    <row r="37" spans="1:30" ht="24.75" thickBot="1">
      <c r="A37" s="547"/>
      <c r="B37" s="560"/>
      <c r="C37" s="549"/>
      <c r="D37" s="357" t="s">
        <v>426</v>
      </c>
      <c r="E37" s="358">
        <f t="shared" si="0"/>
        <v>2000</v>
      </c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>
        <v>2000</v>
      </c>
      <c r="W37" s="358"/>
      <c r="X37" s="358"/>
      <c r="Y37" s="358"/>
      <c r="Z37" s="358"/>
      <c r="AA37" s="358"/>
      <c r="AB37" s="358"/>
      <c r="AC37" s="363">
        <f>SUM(F37:AA37)</f>
        <v>2000</v>
      </c>
      <c r="AD37" s="540"/>
    </row>
    <row r="38" spans="1:30" ht="21.75" customHeight="1" thickBot="1">
      <c r="A38" s="547"/>
      <c r="B38" s="560"/>
      <c r="C38" s="549"/>
      <c r="D38" s="357" t="s">
        <v>427</v>
      </c>
      <c r="E38" s="358">
        <f t="shared" si="0"/>
        <v>1500</v>
      </c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>
        <v>1500</v>
      </c>
      <c r="T38" s="358"/>
      <c r="U38" s="358"/>
      <c r="V38" s="358"/>
      <c r="W38" s="358"/>
      <c r="X38" s="358"/>
      <c r="Y38" s="358"/>
      <c r="Z38" s="358"/>
      <c r="AA38" s="358"/>
      <c r="AB38" s="358"/>
      <c r="AC38" s="363">
        <f>SUM(F38:AA38)</f>
        <v>1500</v>
      </c>
      <c r="AD38" s="540"/>
    </row>
    <row r="39" spans="1:30" ht="21.75" customHeight="1" thickBot="1">
      <c r="A39" s="547"/>
      <c r="B39" s="560"/>
      <c r="C39" s="549"/>
      <c r="D39" s="357" t="s">
        <v>428</v>
      </c>
      <c r="E39" s="358">
        <f t="shared" si="0"/>
        <v>526</v>
      </c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8"/>
      <c r="Z39" s="358"/>
      <c r="AA39" s="358">
        <v>526</v>
      </c>
      <c r="AB39" s="358"/>
      <c r="AC39" s="363">
        <f>SUM(F39:AA39)</f>
        <v>526</v>
      </c>
      <c r="AD39" s="540"/>
    </row>
    <row r="40" spans="1:30" ht="26.25" customHeight="1" thickBot="1">
      <c r="A40" s="547"/>
      <c r="B40" s="560"/>
      <c r="C40" s="549"/>
      <c r="D40" s="367" t="s">
        <v>429</v>
      </c>
      <c r="E40" s="377">
        <f t="shared" si="0"/>
        <v>7200</v>
      </c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353">
        <f>10000-2800</f>
        <v>7200</v>
      </c>
      <c r="U40" s="353"/>
      <c r="V40" s="353"/>
      <c r="W40" s="353"/>
      <c r="X40" s="353"/>
      <c r="Y40" s="353"/>
      <c r="Z40" s="353"/>
      <c r="AA40" s="353"/>
      <c r="AB40" s="353"/>
      <c r="AC40" s="354">
        <f>SUM(F40:Y40)</f>
        <v>7200</v>
      </c>
      <c r="AD40" s="541"/>
    </row>
    <row r="41" spans="1:30" ht="20.25" customHeight="1" thickBot="1">
      <c r="A41" s="547">
        <v>12</v>
      </c>
      <c r="B41" s="548" t="s">
        <v>430</v>
      </c>
      <c r="C41" s="549">
        <v>15656</v>
      </c>
      <c r="D41" s="357" t="s">
        <v>431</v>
      </c>
      <c r="E41" s="351">
        <f t="shared" si="0"/>
        <v>4000</v>
      </c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>
        <v>4000</v>
      </c>
      <c r="W41" s="351"/>
      <c r="X41" s="351"/>
      <c r="Y41" s="351"/>
      <c r="Z41" s="351"/>
      <c r="AA41" s="351"/>
      <c r="AB41" s="351"/>
      <c r="AC41" s="346">
        <f>SUM(F41:Y41)</f>
        <v>4000</v>
      </c>
      <c r="AD41" s="539">
        <f>SUM(AC41:AC45)</f>
        <v>15656</v>
      </c>
    </row>
    <row r="42" spans="1:30" ht="20.25" customHeight="1" thickBot="1">
      <c r="A42" s="547"/>
      <c r="B42" s="548"/>
      <c r="C42" s="549"/>
      <c r="D42" s="357" t="s">
        <v>396</v>
      </c>
      <c r="E42" s="358">
        <f t="shared" si="0"/>
        <v>5000</v>
      </c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>
        <v>5000</v>
      </c>
      <c r="Y42" s="358"/>
      <c r="Z42" s="358"/>
      <c r="AA42" s="358"/>
      <c r="AB42" s="358"/>
      <c r="AC42" s="363">
        <f>SUM(F42:Y42)</f>
        <v>5000</v>
      </c>
      <c r="AD42" s="542"/>
    </row>
    <row r="43" spans="1:30" ht="28.5" customHeight="1" thickBot="1">
      <c r="A43" s="547"/>
      <c r="B43" s="548"/>
      <c r="C43" s="549"/>
      <c r="D43" s="361" t="s">
        <v>432</v>
      </c>
      <c r="E43" s="358">
        <f t="shared" si="0"/>
        <v>1000</v>
      </c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58"/>
      <c r="W43" s="358">
        <v>1000</v>
      </c>
      <c r="X43" s="358"/>
      <c r="Y43" s="358"/>
      <c r="Z43" s="358"/>
      <c r="AA43" s="358"/>
      <c r="AB43" s="358"/>
      <c r="AC43" s="363">
        <f>SUM(F43:Y43)</f>
        <v>1000</v>
      </c>
      <c r="AD43" s="542"/>
    </row>
    <row r="44" spans="1:30" ht="28.5" customHeight="1" thickBot="1">
      <c r="A44" s="547"/>
      <c r="B44" s="548"/>
      <c r="C44" s="549"/>
      <c r="D44" s="357" t="s">
        <v>433</v>
      </c>
      <c r="E44" s="358">
        <f t="shared" si="0"/>
        <v>1656</v>
      </c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  <c r="AA44" s="358"/>
      <c r="AB44" s="358">
        <v>1656</v>
      </c>
      <c r="AC44" s="363">
        <f>SUM(F44:AB44)</f>
        <v>1656</v>
      </c>
      <c r="AD44" s="542"/>
    </row>
    <row r="45" spans="1:30" ht="18" customHeight="1" thickBot="1">
      <c r="A45" s="547"/>
      <c r="B45" s="548"/>
      <c r="C45" s="549"/>
      <c r="D45" s="352" t="s">
        <v>434</v>
      </c>
      <c r="E45" s="353">
        <f t="shared" si="0"/>
        <v>4000</v>
      </c>
      <c r="F45" s="353"/>
      <c r="G45" s="353"/>
      <c r="H45" s="353"/>
      <c r="I45" s="353"/>
      <c r="J45" s="353"/>
      <c r="K45" s="353"/>
      <c r="L45" s="353"/>
      <c r="M45" s="353"/>
      <c r="N45" s="353"/>
      <c r="O45" s="353"/>
      <c r="P45" s="353"/>
      <c r="Q45" s="353"/>
      <c r="R45" s="353"/>
      <c r="S45" s="353"/>
      <c r="T45" s="353"/>
      <c r="U45" s="353"/>
      <c r="V45" s="353"/>
      <c r="W45" s="353"/>
      <c r="X45" s="353"/>
      <c r="Y45" s="353"/>
      <c r="Z45" s="353">
        <v>4000</v>
      </c>
      <c r="AA45" s="353"/>
      <c r="AB45" s="353"/>
      <c r="AC45" s="363">
        <f>SUM(F45:AB45)</f>
        <v>4000</v>
      </c>
      <c r="AD45" s="543"/>
    </row>
    <row r="46" spans="1:30" ht="20.25" customHeight="1" thickBot="1">
      <c r="A46" s="341">
        <v>13</v>
      </c>
      <c r="B46" s="348" t="s">
        <v>435</v>
      </c>
      <c r="C46" s="349">
        <v>5406</v>
      </c>
      <c r="D46" s="344" t="s">
        <v>436</v>
      </c>
      <c r="E46" s="349">
        <f t="shared" si="0"/>
        <v>5406</v>
      </c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>
        <v>5406</v>
      </c>
      <c r="T46" s="349"/>
      <c r="U46" s="349"/>
      <c r="V46" s="349"/>
      <c r="W46" s="349"/>
      <c r="X46" s="349"/>
      <c r="Y46" s="349"/>
      <c r="Z46" s="349"/>
      <c r="AA46" s="349"/>
      <c r="AB46" s="349"/>
      <c r="AC46" s="375">
        <f aca="true" t="shared" si="9" ref="AC46:AC52">SUM(F46:Y46)</f>
        <v>5406</v>
      </c>
      <c r="AD46" s="376">
        <f>AC46</f>
        <v>5406</v>
      </c>
    </row>
    <row r="47" spans="1:30" ht="30.75" customHeight="1" thickBot="1">
      <c r="A47" s="547">
        <v>14</v>
      </c>
      <c r="B47" s="548" t="s">
        <v>437</v>
      </c>
      <c r="C47" s="549">
        <v>19733</v>
      </c>
      <c r="D47" s="357" t="s">
        <v>407</v>
      </c>
      <c r="E47" s="351">
        <f t="shared" si="0"/>
        <v>4500</v>
      </c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>
        <v>1000</v>
      </c>
      <c r="W47" s="351">
        <v>3500</v>
      </c>
      <c r="X47" s="351"/>
      <c r="Y47" s="351"/>
      <c r="Z47" s="351"/>
      <c r="AA47" s="351"/>
      <c r="AB47" s="351"/>
      <c r="AC47" s="346">
        <f t="shared" si="9"/>
        <v>4500</v>
      </c>
      <c r="AD47" s="539">
        <f>SUM(AC47:AC52)</f>
        <v>19733</v>
      </c>
    </row>
    <row r="48" spans="1:30" ht="20.25" customHeight="1" thickBot="1">
      <c r="A48" s="547"/>
      <c r="B48" s="548"/>
      <c r="C48" s="549"/>
      <c r="D48" s="361" t="s">
        <v>401</v>
      </c>
      <c r="E48" s="358">
        <f t="shared" si="0"/>
        <v>2333</v>
      </c>
      <c r="F48" s="358"/>
      <c r="G48" s="358"/>
      <c r="H48" s="358"/>
      <c r="I48" s="358"/>
      <c r="J48" s="358"/>
      <c r="K48" s="358"/>
      <c r="L48" s="358"/>
      <c r="M48" s="358"/>
      <c r="N48" s="358">
        <v>2333</v>
      </c>
      <c r="O48" s="358"/>
      <c r="P48" s="358"/>
      <c r="Q48" s="358"/>
      <c r="R48" s="358"/>
      <c r="S48" s="358"/>
      <c r="T48" s="358"/>
      <c r="U48" s="358"/>
      <c r="V48" s="358"/>
      <c r="W48" s="358"/>
      <c r="X48" s="358"/>
      <c r="Y48" s="358"/>
      <c r="Z48" s="358"/>
      <c r="AA48" s="358"/>
      <c r="AB48" s="358"/>
      <c r="AC48" s="363">
        <f t="shared" si="9"/>
        <v>2333</v>
      </c>
      <c r="AD48" s="540"/>
    </row>
    <row r="49" spans="1:30" ht="20.25" customHeight="1" thickBot="1">
      <c r="A49" s="547"/>
      <c r="B49" s="548"/>
      <c r="C49" s="549"/>
      <c r="D49" s="379" t="s">
        <v>400</v>
      </c>
      <c r="E49" s="358">
        <f t="shared" si="0"/>
        <v>900</v>
      </c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>
        <v>900</v>
      </c>
      <c r="W49" s="358"/>
      <c r="X49" s="358"/>
      <c r="Y49" s="358"/>
      <c r="Z49" s="358"/>
      <c r="AA49" s="358"/>
      <c r="AB49" s="358"/>
      <c r="AC49" s="363">
        <f t="shared" si="9"/>
        <v>900</v>
      </c>
      <c r="AD49" s="540"/>
    </row>
    <row r="50" spans="1:30" ht="20.25" customHeight="1" thickBot="1">
      <c r="A50" s="547"/>
      <c r="B50" s="548"/>
      <c r="C50" s="549"/>
      <c r="D50" s="357" t="s">
        <v>438</v>
      </c>
      <c r="E50" s="358">
        <f t="shared" si="0"/>
        <v>11000</v>
      </c>
      <c r="F50" s="358"/>
      <c r="G50" s="358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  <c r="S50" s="358">
        <v>11000</v>
      </c>
      <c r="T50" s="358"/>
      <c r="U50" s="358"/>
      <c r="V50" s="358"/>
      <c r="W50" s="358"/>
      <c r="X50" s="358"/>
      <c r="Y50" s="358"/>
      <c r="Z50" s="358"/>
      <c r="AA50" s="358"/>
      <c r="AB50" s="358"/>
      <c r="AC50" s="363">
        <f t="shared" si="9"/>
        <v>11000</v>
      </c>
      <c r="AD50" s="540"/>
    </row>
    <row r="51" spans="1:30" ht="20.25" customHeight="1" thickBot="1">
      <c r="A51" s="547"/>
      <c r="B51" s="548"/>
      <c r="C51" s="549"/>
      <c r="D51" s="365" t="s">
        <v>403</v>
      </c>
      <c r="E51" s="358">
        <f t="shared" si="0"/>
        <v>500</v>
      </c>
      <c r="F51" s="358"/>
      <c r="G51" s="358"/>
      <c r="H51" s="358"/>
      <c r="I51" s="358"/>
      <c r="J51" s="358"/>
      <c r="K51" s="358"/>
      <c r="L51" s="358"/>
      <c r="M51" s="358">
        <v>500</v>
      </c>
      <c r="N51" s="358"/>
      <c r="O51" s="358"/>
      <c r="P51" s="358"/>
      <c r="Q51" s="358"/>
      <c r="R51" s="358"/>
      <c r="S51" s="358"/>
      <c r="T51" s="358"/>
      <c r="U51" s="358"/>
      <c r="V51" s="358"/>
      <c r="W51" s="358"/>
      <c r="X51" s="358"/>
      <c r="Y51" s="358"/>
      <c r="Z51" s="358"/>
      <c r="AA51" s="358"/>
      <c r="AB51" s="358"/>
      <c r="AC51" s="363">
        <f t="shared" si="9"/>
        <v>500</v>
      </c>
      <c r="AD51" s="540"/>
    </row>
    <row r="52" spans="1:30" ht="20.25" customHeight="1" thickBot="1">
      <c r="A52" s="547"/>
      <c r="B52" s="548"/>
      <c r="C52" s="549"/>
      <c r="D52" s="367" t="s">
        <v>439</v>
      </c>
      <c r="E52" s="380">
        <f t="shared" si="0"/>
        <v>500</v>
      </c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3"/>
      <c r="S52" s="353"/>
      <c r="T52" s="353"/>
      <c r="U52" s="353">
        <v>500</v>
      </c>
      <c r="V52" s="353"/>
      <c r="W52" s="353"/>
      <c r="X52" s="353"/>
      <c r="Y52" s="353"/>
      <c r="Z52" s="353"/>
      <c r="AA52" s="353"/>
      <c r="AB52" s="353"/>
      <c r="AC52" s="360">
        <f t="shared" si="9"/>
        <v>500</v>
      </c>
      <c r="AD52" s="541"/>
    </row>
    <row r="53" spans="1:30" ht="12.75" customHeight="1" thickBot="1">
      <c r="A53" s="564" t="s">
        <v>440</v>
      </c>
      <c r="B53" s="565"/>
      <c r="C53" s="549">
        <f>SUM(C5:C52)</f>
        <v>173435</v>
      </c>
      <c r="D53" s="569" t="s">
        <v>441</v>
      </c>
      <c r="E53" s="559">
        <f>E52+E51+E50+E49+E48+E47+E46+E45+E44+E43+E42+E41+E40+E39+E38+E37+E36+E35+E34+E33+E32+E31+E30+E29+E28+E27+E26+E25+E24+E23+E22+E21+E20+E19+E18+E17+E16+E15+E14+E13+E12+E11+E10+E9+E8+E7+E6+E5</f>
        <v>168662</v>
      </c>
      <c r="F53" s="561">
        <f aca="true" t="shared" si="10" ref="F53:AC53">SUM(F5:F52)</f>
        <v>5000</v>
      </c>
      <c r="G53" s="537">
        <f t="shared" si="10"/>
        <v>0</v>
      </c>
      <c r="H53" s="537">
        <f t="shared" si="10"/>
        <v>533</v>
      </c>
      <c r="I53" s="537">
        <f t="shared" si="10"/>
        <v>6157</v>
      </c>
      <c r="J53" s="537">
        <f t="shared" si="10"/>
        <v>601</v>
      </c>
      <c r="K53" s="537">
        <f t="shared" si="10"/>
        <v>2500</v>
      </c>
      <c r="L53" s="537">
        <f t="shared" si="10"/>
        <v>4800</v>
      </c>
      <c r="M53" s="537">
        <f t="shared" si="10"/>
        <v>1000</v>
      </c>
      <c r="N53" s="537">
        <f t="shared" si="10"/>
        <v>2333</v>
      </c>
      <c r="O53" s="537">
        <f t="shared" si="10"/>
        <v>2600</v>
      </c>
      <c r="P53" s="537">
        <f t="shared" si="10"/>
        <v>0</v>
      </c>
      <c r="Q53" s="537">
        <f t="shared" si="10"/>
        <v>0</v>
      </c>
      <c r="R53" s="537">
        <f t="shared" si="10"/>
        <v>2000</v>
      </c>
      <c r="S53" s="537">
        <f t="shared" si="10"/>
        <v>40971</v>
      </c>
      <c r="T53" s="537">
        <f t="shared" si="10"/>
        <v>30025</v>
      </c>
      <c r="U53" s="537">
        <f t="shared" si="10"/>
        <v>500</v>
      </c>
      <c r="V53" s="537">
        <f t="shared" si="10"/>
        <v>21160</v>
      </c>
      <c r="W53" s="537">
        <f t="shared" si="10"/>
        <v>14800</v>
      </c>
      <c r="X53" s="537">
        <f t="shared" si="10"/>
        <v>26500</v>
      </c>
      <c r="Y53" s="537">
        <f t="shared" si="10"/>
        <v>1000</v>
      </c>
      <c r="Z53" s="537">
        <f t="shared" si="10"/>
        <v>4000</v>
      </c>
      <c r="AA53" s="537">
        <f t="shared" si="10"/>
        <v>526</v>
      </c>
      <c r="AB53" s="537">
        <f t="shared" si="10"/>
        <v>1656</v>
      </c>
      <c r="AC53" s="572">
        <f t="shared" si="10"/>
        <v>168662</v>
      </c>
      <c r="AD53" s="539">
        <f>AD47+AD46+AD41+AD34+AD31+AD26+AD25+AD24+AD21+AD16+AD12+AD8+AD6+AD5</f>
        <v>168662</v>
      </c>
    </row>
    <row r="54" spans="1:30" ht="22.5" customHeight="1" thickBot="1">
      <c r="A54" s="566"/>
      <c r="B54" s="567"/>
      <c r="C54" s="568"/>
      <c r="D54" s="570"/>
      <c r="E54" s="546"/>
      <c r="F54" s="562"/>
      <c r="G54" s="538"/>
      <c r="H54" s="538"/>
      <c r="I54" s="538"/>
      <c r="J54" s="538"/>
      <c r="K54" s="538"/>
      <c r="L54" s="538"/>
      <c r="M54" s="538"/>
      <c r="N54" s="538"/>
      <c r="O54" s="538"/>
      <c r="P54" s="538"/>
      <c r="Q54" s="538"/>
      <c r="R54" s="538"/>
      <c r="S54" s="538"/>
      <c r="T54" s="538"/>
      <c r="U54" s="538"/>
      <c r="V54" s="538"/>
      <c r="W54" s="538"/>
      <c r="X54" s="538"/>
      <c r="Y54" s="538"/>
      <c r="Z54" s="538"/>
      <c r="AA54" s="538"/>
      <c r="AB54" s="538"/>
      <c r="AC54" s="573"/>
      <c r="AD54" s="546"/>
    </row>
    <row r="55" spans="1:2" ht="12.75">
      <c r="A55" s="381"/>
      <c r="B55" s="381"/>
    </row>
    <row r="56" spans="1:29" ht="12.75" customHeight="1">
      <c r="A56" s="563" t="s">
        <v>442</v>
      </c>
      <c r="B56" s="563"/>
      <c r="C56" s="563"/>
      <c r="D56" s="563"/>
      <c r="E56" s="563"/>
      <c r="F56" s="382"/>
      <c r="G56" s="382"/>
      <c r="H56" s="382"/>
      <c r="I56" s="382"/>
      <c r="J56" s="382"/>
      <c r="K56" s="382"/>
      <c r="L56" s="382"/>
      <c r="M56" s="382"/>
      <c r="N56" s="382"/>
      <c r="O56" s="382"/>
      <c r="P56" s="382"/>
      <c r="Q56" s="382"/>
      <c r="R56" s="382"/>
      <c r="S56" s="382"/>
      <c r="T56" s="382"/>
      <c r="U56" s="382"/>
      <c r="V56" s="382"/>
      <c r="W56" s="382"/>
      <c r="X56" s="382"/>
      <c r="Y56" s="382"/>
      <c r="Z56" s="382"/>
      <c r="AA56" s="382"/>
      <c r="AB56" s="382"/>
      <c r="AC56" s="383"/>
    </row>
    <row r="57" spans="1:29" ht="16.5" customHeight="1">
      <c r="A57" s="563"/>
      <c r="B57" s="563"/>
      <c r="C57" s="563"/>
      <c r="D57" s="563"/>
      <c r="E57" s="563"/>
      <c r="F57" s="382"/>
      <c r="G57" s="382"/>
      <c r="H57" s="382"/>
      <c r="I57" s="382"/>
      <c r="J57" s="382"/>
      <c r="K57" s="382"/>
      <c r="L57" s="382"/>
      <c r="M57" s="382"/>
      <c r="N57" s="382"/>
      <c r="O57" s="382"/>
      <c r="P57" s="382"/>
      <c r="Q57" s="382"/>
      <c r="R57" s="382"/>
      <c r="S57" s="382"/>
      <c r="T57" s="382"/>
      <c r="U57" s="382"/>
      <c r="V57" s="382"/>
      <c r="W57" s="382"/>
      <c r="X57" s="382"/>
      <c r="Y57" s="382"/>
      <c r="Z57" s="382"/>
      <c r="AA57" s="382"/>
      <c r="AB57" s="382"/>
      <c r="AC57" s="383"/>
    </row>
    <row r="58" ht="13.5" thickBot="1"/>
    <row r="59" spans="1:29" s="386" customFormat="1" ht="18.75" customHeight="1" thickBot="1">
      <c r="A59" s="384" t="s">
        <v>108</v>
      </c>
      <c r="B59" s="384" t="s">
        <v>1</v>
      </c>
      <c r="C59" s="384" t="s">
        <v>2</v>
      </c>
      <c r="D59" s="384" t="s">
        <v>443</v>
      </c>
      <c r="E59" s="384" t="s">
        <v>444</v>
      </c>
      <c r="F59" s="385"/>
      <c r="G59" s="385"/>
      <c r="H59" s="385"/>
      <c r="I59" s="385"/>
      <c r="J59" s="385"/>
      <c r="K59" s="385"/>
      <c r="L59" s="385"/>
      <c r="M59" s="385"/>
      <c r="N59" s="385"/>
      <c r="O59" s="385"/>
      <c r="P59" s="385"/>
      <c r="Q59" s="385"/>
      <c r="R59" s="385"/>
      <c r="S59" s="385"/>
      <c r="T59" s="385"/>
      <c r="U59" s="385"/>
      <c r="V59" s="385"/>
      <c r="W59" s="385"/>
      <c r="X59" s="385"/>
      <c r="Y59" s="385"/>
      <c r="Z59" s="385"/>
      <c r="AA59" s="385"/>
      <c r="AB59" s="385"/>
      <c r="AC59" s="385"/>
    </row>
    <row r="60" spans="1:29" s="386" customFormat="1" ht="18.75" customHeight="1">
      <c r="A60" s="387">
        <v>1</v>
      </c>
      <c r="B60" s="388" t="s">
        <v>105</v>
      </c>
      <c r="C60" s="388" t="s">
        <v>445</v>
      </c>
      <c r="D60" s="366"/>
      <c r="E60" s="366">
        <f>F53</f>
        <v>5000</v>
      </c>
      <c r="F60" s="389"/>
      <c r="G60" s="389"/>
      <c r="H60" s="389"/>
      <c r="I60" s="389"/>
      <c r="J60" s="389"/>
      <c r="K60" s="389"/>
      <c r="L60" s="389"/>
      <c r="M60" s="389"/>
      <c r="N60" s="389"/>
      <c r="O60" s="389"/>
      <c r="P60" s="389"/>
      <c r="Q60" s="389"/>
      <c r="R60" s="389"/>
      <c r="S60" s="389"/>
      <c r="T60" s="389"/>
      <c r="U60" s="389"/>
      <c r="V60" s="389"/>
      <c r="W60" s="389"/>
      <c r="X60" s="389"/>
      <c r="Y60" s="389"/>
      <c r="Z60" s="389"/>
      <c r="AA60" s="389"/>
      <c r="AB60" s="389"/>
      <c r="AC60" s="389"/>
    </row>
    <row r="61" spans="1:29" s="386" customFormat="1" ht="18.75" customHeight="1">
      <c r="A61" s="390">
        <v>2</v>
      </c>
      <c r="B61" s="391" t="s">
        <v>446</v>
      </c>
      <c r="C61" s="390">
        <v>60016</v>
      </c>
      <c r="D61" s="358">
        <f>I53</f>
        <v>6157</v>
      </c>
      <c r="E61" s="366">
        <f>H53</f>
        <v>533</v>
      </c>
      <c r="F61" s="389"/>
      <c r="G61" s="389"/>
      <c r="H61" s="389"/>
      <c r="I61" s="389"/>
      <c r="J61" s="389"/>
      <c r="K61" s="389"/>
      <c r="L61" s="389"/>
      <c r="M61" s="389"/>
      <c r="N61" s="389"/>
      <c r="O61" s="389"/>
      <c r="P61" s="389"/>
      <c r="Q61" s="389"/>
      <c r="R61" s="389"/>
      <c r="S61" s="389"/>
      <c r="T61" s="389"/>
      <c r="U61" s="389"/>
      <c r="V61" s="389"/>
      <c r="W61" s="389"/>
      <c r="X61" s="389"/>
      <c r="Y61" s="389"/>
      <c r="Z61" s="389"/>
      <c r="AA61" s="389"/>
      <c r="AB61" s="389"/>
      <c r="AC61" s="389"/>
    </row>
    <row r="62" spans="1:29" s="386" customFormat="1" ht="18.75" customHeight="1">
      <c r="A62" s="390">
        <v>3</v>
      </c>
      <c r="B62" s="391" t="s">
        <v>447</v>
      </c>
      <c r="C62" s="390">
        <v>75095</v>
      </c>
      <c r="D62" s="358"/>
      <c r="E62" s="366">
        <f>J53</f>
        <v>601</v>
      </c>
      <c r="F62" s="389"/>
      <c r="G62" s="389"/>
      <c r="H62" s="389"/>
      <c r="I62" s="389"/>
      <c r="J62" s="389"/>
      <c r="K62" s="389"/>
      <c r="L62" s="389"/>
      <c r="M62" s="389"/>
      <c r="N62" s="389"/>
      <c r="O62" s="389"/>
      <c r="P62" s="389"/>
      <c r="Q62" s="389"/>
      <c r="R62" s="389"/>
      <c r="S62" s="389"/>
      <c r="T62" s="389"/>
      <c r="U62" s="389"/>
      <c r="V62" s="389"/>
      <c r="W62" s="389"/>
      <c r="X62" s="389"/>
      <c r="Y62" s="389"/>
      <c r="Z62" s="389"/>
      <c r="AA62" s="389"/>
      <c r="AB62" s="389"/>
      <c r="AC62" s="389"/>
    </row>
    <row r="63" spans="1:29" s="386" customFormat="1" ht="18.75" customHeight="1">
      <c r="A63" s="390">
        <v>4</v>
      </c>
      <c r="B63" s="391" t="s">
        <v>448</v>
      </c>
      <c r="C63" s="390">
        <v>75412</v>
      </c>
      <c r="D63" s="358">
        <f>L53</f>
        <v>4800</v>
      </c>
      <c r="E63" s="366">
        <f>K53</f>
        <v>2500</v>
      </c>
      <c r="F63" s="389"/>
      <c r="G63" s="389"/>
      <c r="H63" s="389"/>
      <c r="I63" s="389"/>
      <c r="J63" s="389"/>
      <c r="K63" s="389"/>
      <c r="L63" s="389"/>
      <c r="M63" s="389"/>
      <c r="N63" s="389"/>
      <c r="O63" s="389"/>
      <c r="P63" s="389"/>
      <c r="Q63" s="389"/>
      <c r="R63" s="389"/>
      <c r="S63" s="389"/>
      <c r="T63" s="389"/>
      <c r="U63" s="389"/>
      <c r="V63" s="389"/>
      <c r="W63" s="389"/>
      <c r="X63" s="389"/>
      <c r="Y63" s="389"/>
      <c r="Z63" s="389"/>
      <c r="AA63" s="389"/>
      <c r="AB63" s="389"/>
      <c r="AC63" s="389"/>
    </row>
    <row r="64" spans="1:29" s="386" customFormat="1" ht="18.75" customHeight="1">
      <c r="A64" s="390">
        <v>5</v>
      </c>
      <c r="B64" s="391" t="s">
        <v>29</v>
      </c>
      <c r="C64" s="390">
        <v>80113</v>
      </c>
      <c r="D64" s="358"/>
      <c r="E64" s="366">
        <f>M53</f>
        <v>1000</v>
      </c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389"/>
      <c r="Z64" s="389"/>
      <c r="AA64" s="389"/>
      <c r="AB64" s="389"/>
      <c r="AC64" s="389"/>
    </row>
    <row r="65" spans="1:29" s="386" customFormat="1" ht="18.75" customHeight="1">
      <c r="A65" s="390">
        <v>6</v>
      </c>
      <c r="B65" s="391" t="s">
        <v>311</v>
      </c>
      <c r="C65" s="390">
        <v>90004</v>
      </c>
      <c r="D65" s="358"/>
      <c r="E65" s="366">
        <f>N53+O53</f>
        <v>4933</v>
      </c>
      <c r="F65" s="389"/>
      <c r="G65" s="389"/>
      <c r="H65" s="389"/>
      <c r="I65" s="389"/>
      <c r="J65" s="389"/>
      <c r="K65" s="389"/>
      <c r="L65" s="389"/>
      <c r="M65" s="389"/>
      <c r="N65" s="389"/>
      <c r="O65" s="389"/>
      <c r="P65" s="389"/>
      <c r="Q65" s="389"/>
      <c r="R65" s="389"/>
      <c r="S65" s="389"/>
      <c r="T65" s="389"/>
      <c r="U65" s="389"/>
      <c r="V65" s="389"/>
      <c r="W65" s="389"/>
      <c r="X65" s="389"/>
      <c r="Y65" s="389"/>
      <c r="Z65" s="389"/>
      <c r="AA65" s="389"/>
      <c r="AB65" s="389"/>
      <c r="AC65" s="389"/>
    </row>
    <row r="66" spans="1:29" s="386" customFormat="1" ht="18.75" customHeight="1">
      <c r="A66" s="390">
        <v>7</v>
      </c>
      <c r="B66" s="392"/>
      <c r="C66" s="390">
        <v>90015</v>
      </c>
      <c r="D66" s="358"/>
      <c r="E66" s="366">
        <f>R53</f>
        <v>2000</v>
      </c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389"/>
      <c r="AA66" s="389"/>
      <c r="AB66" s="389"/>
      <c r="AC66" s="389"/>
    </row>
    <row r="67" spans="1:29" s="386" customFormat="1" ht="18.75" customHeight="1">
      <c r="A67" s="390">
        <v>8</v>
      </c>
      <c r="B67" s="391" t="s">
        <v>449</v>
      </c>
      <c r="C67" s="390">
        <v>92109</v>
      </c>
      <c r="D67" s="358">
        <f>T53</f>
        <v>30025</v>
      </c>
      <c r="E67" s="366">
        <f>S53</f>
        <v>40971</v>
      </c>
      <c r="F67" s="389"/>
      <c r="G67" s="389"/>
      <c r="H67" s="389"/>
      <c r="I67" s="389"/>
      <c r="J67" s="389"/>
      <c r="K67" s="389"/>
      <c r="L67" s="389"/>
      <c r="M67" s="389"/>
      <c r="N67" s="389"/>
      <c r="O67" s="389"/>
      <c r="P67" s="389"/>
      <c r="Q67" s="389"/>
      <c r="R67" s="389"/>
      <c r="S67" s="389"/>
      <c r="T67" s="389"/>
      <c r="U67" s="389"/>
      <c r="V67" s="389"/>
      <c r="W67" s="389"/>
      <c r="X67" s="389"/>
      <c r="Y67" s="389"/>
      <c r="Z67" s="389"/>
      <c r="AA67" s="389"/>
      <c r="AB67" s="389"/>
      <c r="AC67" s="389"/>
    </row>
    <row r="68" spans="1:29" s="386" customFormat="1" ht="18.75" customHeight="1">
      <c r="A68" s="390">
        <v>9</v>
      </c>
      <c r="B68" s="391"/>
      <c r="C68" s="390">
        <v>92116</v>
      </c>
      <c r="D68" s="358"/>
      <c r="E68" s="366">
        <f>U53</f>
        <v>500</v>
      </c>
      <c r="F68" s="389"/>
      <c r="G68" s="389"/>
      <c r="H68" s="389"/>
      <c r="I68" s="389"/>
      <c r="J68" s="389"/>
      <c r="K68" s="389"/>
      <c r="L68" s="389"/>
      <c r="M68" s="389"/>
      <c r="N68" s="389"/>
      <c r="O68" s="389"/>
      <c r="P68" s="389"/>
      <c r="Q68" s="389"/>
      <c r="R68" s="389"/>
      <c r="S68" s="389"/>
      <c r="T68" s="389"/>
      <c r="U68" s="389"/>
      <c r="V68" s="389"/>
      <c r="W68" s="389"/>
      <c r="X68" s="389"/>
      <c r="Y68" s="389"/>
      <c r="Z68" s="389"/>
      <c r="AA68" s="389"/>
      <c r="AB68" s="389"/>
      <c r="AC68" s="389"/>
    </row>
    <row r="69" spans="1:29" s="386" customFormat="1" ht="18.75" customHeight="1">
      <c r="A69" s="390">
        <v>10</v>
      </c>
      <c r="B69" s="392"/>
      <c r="C69" s="390">
        <v>92195</v>
      </c>
      <c r="D69" s="358">
        <f>X53</f>
        <v>26500</v>
      </c>
      <c r="E69" s="366">
        <f>V53+W53</f>
        <v>35960</v>
      </c>
      <c r="F69" s="389"/>
      <c r="G69" s="389"/>
      <c r="H69" s="389"/>
      <c r="I69" s="389"/>
      <c r="J69" s="389"/>
      <c r="K69" s="389"/>
      <c r="L69" s="389"/>
      <c r="M69" s="389"/>
      <c r="N69" s="389"/>
      <c r="O69" s="389"/>
      <c r="P69" s="389"/>
      <c r="Q69" s="389"/>
      <c r="R69" s="389"/>
      <c r="S69" s="389"/>
      <c r="T69" s="389"/>
      <c r="U69" s="389"/>
      <c r="V69" s="389"/>
      <c r="W69" s="389"/>
      <c r="X69" s="389"/>
      <c r="Y69" s="389"/>
      <c r="Z69" s="389"/>
      <c r="AA69" s="389"/>
      <c r="AB69" s="389"/>
      <c r="AC69" s="389"/>
    </row>
    <row r="70" spans="1:29" s="386" customFormat="1" ht="18.75" customHeight="1">
      <c r="A70" s="390">
        <v>11</v>
      </c>
      <c r="B70" s="391" t="s">
        <v>313</v>
      </c>
      <c r="C70" s="390">
        <v>92601</v>
      </c>
      <c r="D70" s="358">
        <f>Z53</f>
        <v>4000</v>
      </c>
      <c r="E70" s="366">
        <f>Y53</f>
        <v>1000</v>
      </c>
      <c r="F70" s="389"/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89"/>
      <c r="R70" s="389"/>
      <c r="S70" s="389"/>
      <c r="T70" s="389"/>
      <c r="U70" s="389"/>
      <c r="V70" s="389"/>
      <c r="W70" s="389"/>
      <c r="X70" s="389"/>
      <c r="Y70" s="389"/>
      <c r="Z70" s="389"/>
      <c r="AA70" s="389"/>
      <c r="AB70" s="389"/>
      <c r="AC70" s="389"/>
    </row>
    <row r="71" spans="1:29" s="386" customFormat="1" ht="18.75" customHeight="1" thickBot="1">
      <c r="A71" s="390">
        <v>12</v>
      </c>
      <c r="B71" s="393"/>
      <c r="C71" s="394">
        <v>92605</v>
      </c>
      <c r="D71" s="380"/>
      <c r="E71" s="370">
        <f>AA53+AB53</f>
        <v>2182</v>
      </c>
      <c r="F71" s="389"/>
      <c r="G71" s="389"/>
      <c r="H71" s="389"/>
      <c r="I71" s="389"/>
      <c r="J71" s="389"/>
      <c r="K71" s="389"/>
      <c r="L71" s="389"/>
      <c r="M71" s="389"/>
      <c r="N71" s="389"/>
      <c r="O71" s="389"/>
      <c r="P71" s="389"/>
      <c r="Q71" s="389"/>
      <c r="R71" s="389"/>
      <c r="S71" s="389"/>
      <c r="T71" s="389"/>
      <c r="U71" s="389"/>
      <c r="V71" s="389"/>
      <c r="W71" s="389"/>
      <c r="X71" s="389"/>
      <c r="Y71" s="389"/>
      <c r="Z71" s="389"/>
      <c r="AA71" s="389"/>
      <c r="AB71" s="389"/>
      <c r="AC71" s="389"/>
    </row>
    <row r="72" spans="1:30" s="386" customFormat="1" ht="18.75" customHeight="1" thickBot="1">
      <c r="A72" s="371"/>
      <c r="B72" s="395" t="s">
        <v>450</v>
      </c>
      <c r="C72" s="395"/>
      <c r="D72" s="396">
        <f>SUM(D60:D71)</f>
        <v>71482</v>
      </c>
      <c r="E72" s="397">
        <f>SUM(E60:E71)</f>
        <v>97180</v>
      </c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98"/>
      <c r="R72" s="398"/>
      <c r="S72" s="398"/>
      <c r="T72" s="398"/>
      <c r="U72" s="398"/>
      <c r="V72" s="398"/>
      <c r="W72" s="398"/>
      <c r="X72" s="398"/>
      <c r="Y72" s="398"/>
      <c r="Z72" s="398"/>
      <c r="AA72" s="398"/>
      <c r="AB72" s="398"/>
      <c r="AC72" s="398"/>
      <c r="AD72" s="399"/>
    </row>
  </sheetData>
  <mergeCells count="71">
    <mergeCell ref="A2:E2"/>
    <mergeCell ref="Y53:Y54"/>
    <mergeCell ref="AC53:AC54"/>
    <mergeCell ref="G53:G54"/>
    <mergeCell ref="T53:T54"/>
    <mergeCell ref="V53:V54"/>
    <mergeCell ref="W53:W54"/>
    <mergeCell ref="X53:X54"/>
    <mergeCell ref="R53:R54"/>
    <mergeCell ref="U53:U54"/>
    <mergeCell ref="S53:S54"/>
    <mergeCell ref="A56:E57"/>
    <mergeCell ref="A53:B54"/>
    <mergeCell ref="C53:C54"/>
    <mergeCell ref="D53:D54"/>
    <mergeCell ref="L53:L54"/>
    <mergeCell ref="O53:O54"/>
    <mergeCell ref="K53:K54"/>
    <mergeCell ref="A34:A40"/>
    <mergeCell ref="B34:B40"/>
    <mergeCell ref="C34:C40"/>
    <mergeCell ref="I53:I54"/>
    <mergeCell ref="A41:A45"/>
    <mergeCell ref="B41:B45"/>
    <mergeCell ref="C47:C52"/>
    <mergeCell ref="F53:F54"/>
    <mergeCell ref="H53:H54"/>
    <mergeCell ref="A47:A52"/>
    <mergeCell ref="A26:A30"/>
    <mergeCell ref="B26:B30"/>
    <mergeCell ref="C26:C30"/>
    <mergeCell ref="N53:N54"/>
    <mergeCell ref="E53:E54"/>
    <mergeCell ref="A31:A33"/>
    <mergeCell ref="B31:B33"/>
    <mergeCell ref="C31:C33"/>
    <mergeCell ref="M53:M54"/>
    <mergeCell ref="C41:C45"/>
    <mergeCell ref="B47:B52"/>
    <mergeCell ref="Q53:Q54"/>
    <mergeCell ref="A16:A20"/>
    <mergeCell ref="B16:B20"/>
    <mergeCell ref="C16:C20"/>
    <mergeCell ref="P53:P54"/>
    <mergeCell ref="A21:A23"/>
    <mergeCell ref="J53:J54"/>
    <mergeCell ref="B21:B23"/>
    <mergeCell ref="C21:C23"/>
    <mergeCell ref="A12:A15"/>
    <mergeCell ref="B12:B15"/>
    <mergeCell ref="C12:C15"/>
    <mergeCell ref="A6:A7"/>
    <mergeCell ref="B6:B7"/>
    <mergeCell ref="C6:C7"/>
    <mergeCell ref="A8:A11"/>
    <mergeCell ref="B8:B11"/>
    <mergeCell ref="C8:C11"/>
    <mergeCell ref="Z53:Z54"/>
    <mergeCell ref="AD6:AD7"/>
    <mergeCell ref="AD8:AD11"/>
    <mergeCell ref="AD12:AD15"/>
    <mergeCell ref="AD47:AD52"/>
    <mergeCell ref="AD53:AD54"/>
    <mergeCell ref="AD16:AD20"/>
    <mergeCell ref="AD21:AD23"/>
    <mergeCell ref="AD26:AD30"/>
    <mergeCell ref="AD31:AD33"/>
    <mergeCell ref="AA53:AA54"/>
    <mergeCell ref="AD34:AD40"/>
    <mergeCell ref="AD41:AD45"/>
    <mergeCell ref="AB53:AB54"/>
  </mergeCells>
  <printOptions horizontalCentered="1"/>
  <pageMargins left="0.5118110236220472" right="0.5118110236220472" top="0.83" bottom="0.5511811023622047" header="0.15748031496062992" footer="0.15748031496062992"/>
  <pageSetup fitToHeight="2" fitToWidth="1" horizontalDpi="600" verticalDpi="600" orientation="portrait" paperSize="9" r:id="rId1"/>
  <headerFooter alignWithMargins="0">
    <oddHeader xml:space="preserve">&amp;R&amp;"Arial CE,Pogrubiony"Załącznik Nr &amp;A&amp;"Arial CE,Standardowy"
do Uchwały Nr XXIV/146/2012
Rady Gminy Miłkowice
z dnia 28 września 2012r. 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zoomScale="90" zoomScaleNormal="90" workbookViewId="0" topLeftCell="D1">
      <selection activeCell="E16" sqref="E16"/>
    </sheetView>
  </sheetViews>
  <sheetFormatPr defaultColWidth="9.33203125" defaultRowHeight="12.75"/>
  <cols>
    <col min="1" max="1" width="6" style="316" customWidth="1"/>
    <col min="2" max="2" width="9.66015625" style="316" customWidth="1"/>
    <col min="3" max="3" width="15.66015625" style="316" customWidth="1"/>
    <col min="4" max="4" width="16.16015625" style="316" customWidth="1"/>
    <col min="5" max="5" width="14.83203125" style="316" customWidth="1"/>
    <col min="6" max="6" width="17" style="315" customWidth="1"/>
    <col min="7" max="7" width="14.5" style="315" customWidth="1"/>
    <col min="8" max="8" width="17.33203125" style="315" customWidth="1"/>
    <col min="9" max="16384" width="10" style="315" customWidth="1"/>
  </cols>
  <sheetData>
    <row r="1" spans="1:8" ht="48.75" customHeight="1">
      <c r="A1" s="575" t="s">
        <v>345</v>
      </c>
      <c r="B1" s="575"/>
      <c r="C1" s="575"/>
      <c r="D1" s="575"/>
      <c r="E1" s="575"/>
      <c r="F1" s="575"/>
      <c r="G1" s="575"/>
      <c r="H1" s="575"/>
    </row>
    <row r="2" ht="12.75">
      <c r="H2" s="317" t="s">
        <v>0</v>
      </c>
    </row>
    <row r="3" spans="1:8" s="319" customFormat="1" ht="20.25" customHeight="1">
      <c r="A3" s="576" t="s">
        <v>1</v>
      </c>
      <c r="B3" s="576" t="s">
        <v>2</v>
      </c>
      <c r="C3" s="577" t="s">
        <v>346</v>
      </c>
      <c r="D3" s="577" t="s">
        <v>347</v>
      </c>
      <c r="E3" s="577" t="s">
        <v>71</v>
      </c>
      <c r="F3" s="577"/>
      <c r="G3" s="577"/>
      <c r="H3" s="577"/>
    </row>
    <row r="4" spans="1:8" s="319" customFormat="1" ht="20.25" customHeight="1">
      <c r="A4" s="576"/>
      <c r="B4" s="576"/>
      <c r="C4" s="577"/>
      <c r="D4" s="577"/>
      <c r="E4" s="577" t="s">
        <v>348</v>
      </c>
      <c r="F4" s="577" t="s">
        <v>74</v>
      </c>
      <c r="G4" s="577"/>
      <c r="H4" s="577" t="s">
        <v>349</v>
      </c>
    </row>
    <row r="5" spans="1:8" s="319" customFormat="1" ht="65.25" customHeight="1">
      <c r="A5" s="576"/>
      <c r="B5" s="576"/>
      <c r="C5" s="577"/>
      <c r="D5" s="577"/>
      <c r="E5" s="577"/>
      <c r="F5" s="318" t="s">
        <v>350</v>
      </c>
      <c r="G5" s="318" t="s">
        <v>351</v>
      </c>
      <c r="H5" s="577"/>
    </row>
    <row r="6" spans="1:8" ht="9" customHeight="1">
      <c r="A6" s="320">
        <v>1</v>
      </c>
      <c r="B6" s="320">
        <v>2</v>
      </c>
      <c r="C6" s="320">
        <v>3</v>
      </c>
      <c r="D6" s="320">
        <v>4</v>
      </c>
      <c r="E6" s="320">
        <v>5</v>
      </c>
      <c r="F6" s="320">
        <v>6</v>
      </c>
      <c r="G6" s="320">
        <v>7</v>
      </c>
      <c r="H6" s="320">
        <v>8</v>
      </c>
    </row>
    <row r="7" spans="1:8" ht="19.5" customHeight="1">
      <c r="A7" s="321" t="s">
        <v>105</v>
      </c>
      <c r="B7" s="321" t="s">
        <v>106</v>
      </c>
      <c r="C7" s="322">
        <v>123949</v>
      </c>
      <c r="D7" s="322">
        <v>123949</v>
      </c>
      <c r="E7" s="322">
        <v>123949</v>
      </c>
      <c r="F7" s="323">
        <v>2430.37</v>
      </c>
      <c r="G7" s="322"/>
      <c r="H7" s="322"/>
    </row>
    <row r="8" spans="1:8" ht="19.5" customHeight="1">
      <c r="A8" s="324">
        <v>750</v>
      </c>
      <c r="B8" s="324">
        <v>75011</v>
      </c>
      <c r="C8" s="325">
        <v>69019</v>
      </c>
      <c r="D8" s="325">
        <v>69019</v>
      </c>
      <c r="E8" s="325">
        <v>69019</v>
      </c>
      <c r="F8" s="325">
        <v>69019</v>
      </c>
      <c r="G8" s="325"/>
      <c r="H8" s="325"/>
    </row>
    <row r="9" spans="1:8" ht="19.5" customHeight="1">
      <c r="A9" s="324">
        <v>751</v>
      </c>
      <c r="B9" s="324">
        <v>75101</v>
      </c>
      <c r="C9" s="325">
        <v>1070</v>
      </c>
      <c r="D9" s="325">
        <v>1070</v>
      </c>
      <c r="E9" s="325">
        <v>1070</v>
      </c>
      <c r="F9" s="325">
        <v>1070</v>
      </c>
      <c r="G9" s="325"/>
      <c r="H9" s="325"/>
    </row>
    <row r="10" spans="1:8" ht="19.5" customHeight="1">
      <c r="A10" s="324">
        <v>752</v>
      </c>
      <c r="B10" s="324">
        <v>75212</v>
      </c>
      <c r="C10" s="325">
        <v>200</v>
      </c>
      <c r="D10" s="325">
        <f>E10+H10</f>
        <v>200</v>
      </c>
      <c r="E10" s="325">
        <v>200</v>
      </c>
      <c r="F10" s="325"/>
      <c r="G10" s="325"/>
      <c r="H10" s="325"/>
    </row>
    <row r="11" spans="1:8" ht="19.5" customHeight="1">
      <c r="A11" s="324">
        <v>754</v>
      </c>
      <c r="B11" s="324">
        <v>75414</v>
      </c>
      <c r="C11" s="325">
        <v>1000</v>
      </c>
      <c r="D11" s="325">
        <f>E11+H11</f>
        <v>1000</v>
      </c>
      <c r="E11" s="325">
        <v>1000</v>
      </c>
      <c r="F11" s="325"/>
      <c r="G11" s="325"/>
      <c r="H11" s="325"/>
    </row>
    <row r="12" spans="1:8" ht="19.5" customHeight="1">
      <c r="A12" s="324">
        <v>852</v>
      </c>
      <c r="B12" s="324">
        <v>85212</v>
      </c>
      <c r="C12" s="325">
        <v>1432000</v>
      </c>
      <c r="D12" s="325">
        <f>C12</f>
        <v>1432000</v>
      </c>
      <c r="E12" s="325">
        <f>D12</f>
        <v>1432000</v>
      </c>
      <c r="F12" s="325">
        <v>38988</v>
      </c>
      <c r="G12" s="325">
        <v>1389040</v>
      </c>
      <c r="H12" s="325"/>
    </row>
    <row r="13" spans="1:8" ht="19.5" customHeight="1">
      <c r="A13" s="324">
        <v>852</v>
      </c>
      <c r="B13" s="324">
        <v>85213</v>
      </c>
      <c r="C13" s="325">
        <v>3000</v>
      </c>
      <c r="D13" s="325">
        <v>3000</v>
      </c>
      <c r="E13" s="325">
        <v>3000</v>
      </c>
      <c r="F13" s="325"/>
      <c r="G13" s="325"/>
      <c r="H13" s="325"/>
    </row>
    <row r="14" spans="1:8" ht="19.5" customHeight="1">
      <c r="A14" s="324">
        <v>852</v>
      </c>
      <c r="B14" s="324">
        <v>85219</v>
      </c>
      <c r="C14" s="325">
        <v>3109</v>
      </c>
      <c r="D14" s="325">
        <v>3109</v>
      </c>
      <c r="E14" s="325">
        <v>3109</v>
      </c>
      <c r="F14" s="325"/>
      <c r="G14" s="325">
        <v>3062</v>
      </c>
      <c r="H14" s="325"/>
    </row>
    <row r="15" spans="1:8" ht="19.5" customHeight="1">
      <c r="A15" s="326">
        <v>852</v>
      </c>
      <c r="B15" s="326">
        <v>85295</v>
      </c>
      <c r="C15" s="327">
        <v>15100</v>
      </c>
      <c r="D15" s="327">
        <v>15100</v>
      </c>
      <c r="E15" s="327">
        <f>G15</f>
        <v>15100</v>
      </c>
      <c r="F15" s="327"/>
      <c r="G15" s="327">
        <v>15100</v>
      </c>
      <c r="H15" s="327"/>
    </row>
    <row r="16" spans="1:8" ht="19.5" customHeight="1">
      <c r="A16" s="574" t="s">
        <v>352</v>
      </c>
      <c r="B16" s="574"/>
      <c r="C16" s="328">
        <f aca="true" t="shared" si="0" ref="C16:H16">SUM(C7:C15)</f>
        <v>1648447</v>
      </c>
      <c r="D16" s="328">
        <f t="shared" si="0"/>
        <v>1648447</v>
      </c>
      <c r="E16" s="328">
        <f t="shared" si="0"/>
        <v>1648447</v>
      </c>
      <c r="F16" s="329">
        <f t="shared" si="0"/>
        <v>111507.37</v>
      </c>
      <c r="G16" s="328">
        <f t="shared" si="0"/>
        <v>1407202</v>
      </c>
      <c r="H16" s="328">
        <f t="shared" si="0"/>
        <v>0</v>
      </c>
    </row>
    <row r="18" ht="12.75">
      <c r="A18" s="330"/>
    </row>
    <row r="19" ht="12.75">
      <c r="B19" s="331"/>
    </row>
  </sheetData>
  <mergeCells count="10">
    <mergeCell ref="A16:B16"/>
    <mergeCell ref="A1:H1"/>
    <mergeCell ref="A3:A5"/>
    <mergeCell ref="B3:B5"/>
    <mergeCell ref="C3:C5"/>
    <mergeCell ref="D3:D5"/>
    <mergeCell ref="E3:H3"/>
    <mergeCell ref="E4:E5"/>
    <mergeCell ref="F4:G4"/>
    <mergeCell ref="H4:H5"/>
  </mergeCells>
  <printOptions horizontalCentered="1"/>
  <pageMargins left="0.7874015748031497" right="0.7874015748031497" top="1.141732283464567" bottom="1.062992125984252" header="0.4330708661417323" footer="0.7874015748031497"/>
  <pageSetup horizontalDpi="600" verticalDpi="600" orientation="landscape" paperSize="9" r:id="rId1"/>
  <headerFooter alignWithMargins="0">
    <oddHeader>&amp;R&amp;"Arial CE,Pogrubiony"Załącznik Nr &amp;A
&amp;"Arial CE,Standardowy"do Uchwały Nr XXIV/146/2012 
Rady Gminy Miłkowice
z dnia 28 września 2012r.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2012-10-01T08:55:41Z</cp:lastPrinted>
  <dcterms:created xsi:type="dcterms:W3CDTF">2012-10-01T08:28:12Z</dcterms:created>
  <dcterms:modified xsi:type="dcterms:W3CDTF">2012-10-08T09:44:15Z</dcterms:modified>
  <cp:category/>
  <cp:version/>
  <cp:contentType/>
  <cp:contentStatus/>
</cp:coreProperties>
</file>