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70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</sheets>
  <definedNames>
    <definedName name="_xlnm.Print_Area" localSheetId="0">'1'!$A$1:$P$23</definedName>
    <definedName name="_xlnm.Print_Area" localSheetId="1">'2'!$A$1:$W$85</definedName>
    <definedName name="_xlnm.Print_Area" localSheetId="2">'3'!$A$1:$J$104</definedName>
    <definedName name="_xlnm.Print_Area" localSheetId="3">'3a'!$A$1:$I$74</definedName>
    <definedName name="_xlnm.Print_Area" localSheetId="4">'4'!$A$1:$G$46</definedName>
    <definedName name="_xlnm.Print_Area" localSheetId="5">'5'!$A$1:$E$72</definedName>
  </definedNames>
  <calcPr fullCalcOnLoad="1"/>
</workbook>
</file>

<file path=xl/sharedStrings.xml><?xml version="1.0" encoding="utf-8"?>
<sst xmlns="http://schemas.openxmlformats.org/spreadsheetml/2006/main" count="817" uniqueCount="449">
  <si>
    <t>Dział</t>
  </si>
  <si>
    <t>Rozdział</t>
  </si>
  <si>
    <t>§</t>
  </si>
  <si>
    <t>Nazwa</t>
  </si>
  <si>
    <t>Plan przed zmianą</t>
  </si>
  <si>
    <t>Zmniejszenie</t>
  </si>
  <si>
    <t>Zwiększenie</t>
  </si>
  <si>
    <t>1</t>
  </si>
  <si>
    <t>2</t>
  </si>
  <si>
    <t>3</t>
  </si>
  <si>
    <t>4</t>
  </si>
  <si>
    <t>5</t>
  </si>
  <si>
    <t>6</t>
  </si>
  <si>
    <t>7</t>
  </si>
  <si>
    <t>bieżące</t>
  </si>
  <si>
    <t>758</t>
  </si>
  <si>
    <t>Różne rozliczenia</t>
  </si>
  <si>
    <t>5 799 025,71</t>
  </si>
  <si>
    <t>0,00</t>
  </si>
  <si>
    <t>41 992,00</t>
  </si>
  <si>
    <t>5 841 017,71</t>
  </si>
  <si>
    <t xml:space="preserve">w tym z tytułu dotacji i środków na finansowanie wydatków na realizację zadań finansowanych z udziałem środków, o których mowa w art. 5 ust. 1 pkt 2 i 3 
</t>
  </si>
  <si>
    <t>75801</t>
  </si>
  <si>
    <t>Część oświatowa subwencji ogólnej dla jednostek samorządu terytorialnego</t>
  </si>
  <si>
    <t>3 728 972,00</t>
  </si>
  <si>
    <t>3 770 964,00</t>
  </si>
  <si>
    <t>2920</t>
  </si>
  <si>
    <t>Subwencje ogólne z budżetu państwa</t>
  </si>
  <si>
    <t>852</t>
  </si>
  <si>
    <t>Pomoc społeczna</t>
  </si>
  <si>
    <t>2 660 558,00</t>
  </si>
  <si>
    <t>900,00</t>
  </si>
  <si>
    <t>2 661 458,00</t>
  </si>
  <si>
    <t>171 840,00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</si>
  <si>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</si>
  <si>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</si>
  <si>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16 750,00</t>
  </si>
  <si>
    <t>17 650,00</t>
  </si>
  <si>
    <t>2030</t>
  </si>
  <si>
    <t>Dotacje celowe otrzymane z budżetu państwa na realizację własnych zadań bieżących gmin (związków gmin)</t>
  </si>
  <si>
    <t>11 900,00</t>
  </si>
  <si>
    <t>12 800,00</t>
  </si>
  <si>
    <t>razem:</t>
  </si>
  <si>
    <t>15 992 085,19</t>
  </si>
  <si>
    <t>42 892,00</t>
  </si>
  <si>
    <t>16 034 977,19</t>
  </si>
  <si>
    <t>228 935,98</t>
  </si>
  <si>
    <t>majątkowe</t>
  </si>
  <si>
    <t>753 737,03</t>
  </si>
  <si>
    <t>144 550,00</t>
  </si>
  <si>
    <t>Ogółem:</t>
  </si>
  <si>
    <t>16 745 822,22</t>
  </si>
  <si>
    <t>16 788 714,22</t>
  </si>
  <si>
    <t>373 485,98</t>
  </si>
  <si>
    <t>ZMIANA PLANU DOCHODÓW GMINY MIŁKOWICE NA ROK 2012</t>
  </si>
  <si>
    <t xml:space="preserve">Plan po zmianach 
</t>
  </si>
  <si>
    <t>ZMIANA PLANU WYDATKÓW BUDŻETOWYCH GMINY MIŁKOWICE NA ROK 2012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</si>
  <si>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</si>
  <si>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</si>
  <si>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</si>
  <si>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</si>
  <si>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</si>
  <si>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</si>
  <si>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</si>
  <si>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</si>
  <si>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</si>
  <si>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</si>
  <si>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</si>
  <si>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</si>
  <si>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</si>
  <si>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</si>
  <si>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</si>
  <si>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</si>
  <si>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</si>
  <si>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Transport i łączność</t>
  </si>
  <si>
    <t>przed zmianą</t>
  </si>
  <si>
    <t>zmniejszenie</t>
  </si>
  <si>
    <t>zwiększenie</t>
  </si>
  <si>
    <t>po zmianach</t>
  </si>
  <si>
    <t>Drogi publiczne gminne</t>
  </si>
  <si>
    <t>Gospodarka mieszkaniowa</t>
  </si>
  <si>
    <t>Gospodarka gruntami i nieruchomościami</t>
  </si>
  <si>
    <t>Administracja publiczna</t>
  </si>
  <si>
    <t>Urzędy gmin (miast i miast na prawach powiatu)</t>
  </si>
  <si>
    <t>Bezpieczeństwo publiczne i ochrona przeciwpożarowa</t>
  </si>
  <si>
    <t>Ochotnicze straże pożarne</t>
  </si>
  <si>
    <t>Oświata i wychowanie</t>
  </si>
  <si>
    <t>Szkoły podstawowe</t>
  </si>
  <si>
    <t>Dowożenie uczniów do szkół</t>
  </si>
  <si>
    <t>Zasiłki i pomoc w naturze oraz składki na ubezpieczenia emerytalne i rentowe</t>
  </si>
  <si>
    <t>Kultura i ochrona dziedzictwa narodowego</t>
  </si>
  <si>
    <t>Domy i ośrodki kultury, świetlice i kluby</t>
  </si>
  <si>
    <t>Wydatki razem:</t>
  </si>
  <si>
    <t>Wykaz zadań i zakupów inwestycyjnych na 2012 rok</t>
  </si>
  <si>
    <t>Lp.</t>
  </si>
  <si>
    <t>Nazwa zadania inwestycyjnego</t>
  </si>
  <si>
    <t xml:space="preserve">Planowane wydatki w roku 2012   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</si>
  <si>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</si>
  <si>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</si>
  <si>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</si>
  <si>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</si>
  <si>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</si>
  <si>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</si>
  <si>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</si>
  <si>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</si>
  <si>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</si>
  <si>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</si>
  <si>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</si>
  <si>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 xml:space="preserve">Budowa kanalizacji sanitarnej wraz z przyłączami na terenie Gminy Miłkowice: Zadanie 1: " II etap zadania Jezierzany, Jakuszów, Pątnówek, Bobrów"  - część Jakuszowa i Jezierzany Zadanie 2 "Gniewomirowice - Goślinów" Etap I Goslinów-Gniewomirowice osiedle </t>
  </si>
  <si>
    <t>Urząd Gminy   Miłkowice</t>
  </si>
  <si>
    <t>Budowa kanalizacji sanitarnej wraz z przyłączami dla miejscowości Gniewomirowice i Goślinów</t>
  </si>
  <si>
    <t>Aktualizacja dokumentacji projektowej na budowę sieci kanalizacji sanitarnej dla miejscowości Jakuszów kontynuacja i Jezierzany</t>
  </si>
  <si>
    <t>Budowa sieci wodociągowej dla osiedla domów jednorodzinnych Gniewomirowice II</t>
  </si>
  <si>
    <t>w tym dotacja na inw. dla GZGK 100.710</t>
  </si>
  <si>
    <t xml:space="preserve">Budowa ujęcia wody dla Gminy Miłkowice (odwierty próbne)                                                                         </t>
  </si>
  <si>
    <t>Budowa sieci kanalizacji sanitarnej i wodociągowej w Miłkowicach w obrębie ulic: 15 Sierpnia, 11 Listopada, Konstytucji 3 Maja"</t>
  </si>
  <si>
    <t>pożyczka z WFOŚiGW</t>
  </si>
  <si>
    <t>Modernizacja sieci kanalizacyjnej na terenie Gminy Miłkowice</t>
  </si>
  <si>
    <t>Dotacja celowa na dofinans. inwestycji</t>
  </si>
  <si>
    <t>GZGK    w Miłkowicach</t>
  </si>
  <si>
    <t>Modernizacja sieci wodociągowej na terenie Gminy Miłkowice</t>
  </si>
  <si>
    <t>Wymiana sieci wodociągowej w Miłkowicach osiedle PKP</t>
  </si>
  <si>
    <t>Budowa sieci wodociągowej i kanalizacyjnej dla zespołu domów jednorodzinnych w Grzymalinie (dokumentacja + budowa wodociągu - etap I)</t>
  </si>
  <si>
    <t>Budowa sieci wodociągowej dla Strefy Aktywnosci Gospodarczej w Rzeszotarach (rozpoczęcie)</t>
  </si>
  <si>
    <t>Wykup gruntów, na których posadowione są przepompownie ścieków i urządzeń wodnokanalizacyjnych</t>
  </si>
  <si>
    <t>Rozdział 01042 : Wyłączenie z produkcji gruntów rolnych</t>
  </si>
  <si>
    <t>Przebudowa drogi dojazdowej do gruntów rolnych w Jakuszowie</t>
  </si>
  <si>
    <t>dotacja z Urz.Marszałk.</t>
  </si>
  <si>
    <t>Przebudowa drogi dojazdowej do gruntów rolnych w Rzeszotarach (ul.Młyńska)</t>
  </si>
  <si>
    <t>Dział 400 : WYTWARZANIE I ZAOPATRYWANIE W ENERGIĘ ELEKTRYCZNĄ, GAZ I WODĘ</t>
  </si>
  <si>
    <t>Rozdział 40004 : Dostarczanie paliw gazowych</t>
  </si>
  <si>
    <t>Koncepcja gazyfikacji Gminy Miłkowice</t>
  </si>
  <si>
    <t>Dział 600 : TRANSPORT I ŁĄCZNOŚĆ</t>
  </si>
  <si>
    <t>Rozdział 60014 : Drogi publiczne powiatowe</t>
  </si>
  <si>
    <t>Budowa chodnika z kanalizacją deszczową w miejscowości Miłkowice w ciągu drogi powiatowej nr 2210D na odcinku od km 5+415 do km 5+740, obiekt: Budowa nawierzchni chodnika</t>
  </si>
  <si>
    <t>dotacja ze Starostwa Powiatowego L-ca</t>
  </si>
  <si>
    <t xml:space="preserve">Remont chodnika w miejscowości Siedliska                                                                                                          </t>
  </si>
  <si>
    <t xml:space="preserve">Przewiert sterowany (odwodnienie) w miejscowości Rzeszotary                                                                     </t>
  </si>
  <si>
    <t>Remont drogi powiatowej nr 2214D (ul. Niedźwiedzicka) wraz z odwodnieniem w miejscowości Miłkowice</t>
  </si>
  <si>
    <t>Rozdział 60016 : Drogi publiczne gminne</t>
  </si>
  <si>
    <t>Remont drogi Nr 258/4 w Bobrowie (fundusz sołecki)</t>
  </si>
  <si>
    <t>Remont drogi Nr 123/1 wraz z odwodnieniem w Jezierzanach</t>
  </si>
  <si>
    <t>Remont mostu na cieku Lubiatówka w miejscowości Gniewomirowice</t>
  </si>
  <si>
    <t>Budowa ciągu rowerowo pieszego w Miłkowicach</t>
  </si>
  <si>
    <t>Dział 700 : GOSPODARKA MIESZKANIOWA</t>
  </si>
  <si>
    <t>Rozdział 70005 : Gospodarka gruntami i nieruchomościami</t>
  </si>
  <si>
    <t>Wykup, przejęcie na mienie gruntów i koszty z tym związane</t>
  </si>
  <si>
    <t>Dział 750 : ADMINISTRACJA PUBLICZNA</t>
  </si>
  <si>
    <t>Rozdział 75023 : Urzędy gmin</t>
  </si>
  <si>
    <t>Zakup kserokopiarki do Urzędu Gminy</t>
  </si>
  <si>
    <t>Dział 754 : Bezpieczeństwo publiczne i ochrona przeciwpożarowa</t>
  </si>
  <si>
    <t>Rozdział  75412: Ochotnicze straże pożarne</t>
  </si>
  <si>
    <t>Zakup bram przemysłowych segmentowych aluminiowych typ 9000M do Remizy OSP Grzymalin</t>
  </si>
  <si>
    <t>Dotacja celowa na dofinans. zakupów  inwestycyjnych</t>
  </si>
  <si>
    <t>OSP Grzymalin</t>
  </si>
  <si>
    <t>Zakup samochodu specjalnego pożarniczego średniego dla OSP Grzymalin</t>
  </si>
  <si>
    <t>Zakup uniwersalnego narzędzia hydraulicznego rozpieracza kolumnowego dla OSP Miłkowice</t>
  </si>
  <si>
    <t>OSP Miłkowice</t>
  </si>
  <si>
    <t>Zakup sprzetu strażackiego dla OSP Miłkowice w ramach programu "Dolny Śląsk Bezpieczny Ratownik w OSP"</t>
  </si>
  <si>
    <t>UG Miłkowice</t>
  </si>
  <si>
    <t>Rozdział  75421: Zarządzanie kryzysowe</t>
  </si>
  <si>
    <t>Zakup sprzetu strażackiego dla OSP Rzeszotary w ramach programu "Dolny Śląsk Bezpieczny Ratownik w OSP"</t>
  </si>
  <si>
    <t>Dotacja celowa na zakup inwestycyjny</t>
  </si>
  <si>
    <t>OSP Rzeszotary</t>
  </si>
  <si>
    <t>Dział 801 : OŚWIATA I WYCHOWANIE</t>
  </si>
  <si>
    <t>Rozdział  80101: Szkoły podstawowe</t>
  </si>
  <si>
    <t>Zakup pieca do budynku Szkoły Podstawowej w Miłkowicach</t>
  </si>
  <si>
    <t>Szk.Gimn. Zesp. Szkół</t>
  </si>
  <si>
    <t>Termomodernizacja budynku szkoły podstawowej w Rzeszotarach i w Miłkowicach</t>
  </si>
  <si>
    <t>Dział 851 : OCHRONA ZDROWIA</t>
  </si>
  <si>
    <t>Rozdział  85121: Lecznictwo ambulatoryjne</t>
  </si>
  <si>
    <t>Gminny Ośrodek Zdrowia</t>
  </si>
  <si>
    <t>Dział 900 : GOSPODARKA KOMUNALNA I OCHRONA ŚRODOWISKA</t>
  </si>
  <si>
    <t>Rozdział  90002: Gospodarka odpadami</t>
  </si>
  <si>
    <t>Zakup pojemników do selektywnej zbiórki odpadów</t>
  </si>
  <si>
    <t>Rozdział  90005: Ochrona powietrza atmosferycznego i klimatu</t>
  </si>
  <si>
    <t>Budowa kotłowni ekologicznej dla komplesku budynków publicznych w Miłkowicach (aktualizacja dokumentacji)</t>
  </si>
  <si>
    <t>Rozdział  90015: Oświetlenie ulic placów i dróg</t>
  </si>
  <si>
    <t>Dział 921 : KULTURA I OCHRONA DZIEDZICTWA NARODOWEGO</t>
  </si>
  <si>
    <t>Rozdział  92109: Domy i ośrodki kultury, świetlice i kluby</t>
  </si>
  <si>
    <t>Remont świetlicy wiejskiej w budynku OSP Grzymalin (fundusz sołecki 10.644zł) + aktualizacja dokumentacji</t>
  </si>
  <si>
    <t>Utworzenie św. wiejskiej z segmentów kontenerowych w Goślinowie (w tym fundusz sołecki 2.000zł)</t>
  </si>
  <si>
    <t xml:space="preserve">Budowa świetlicy wiejskiej w Jakuszowie                                                                                                           </t>
  </si>
  <si>
    <t>Adaptacja pozyskanego budynku na świetlicę w Jakuszowie (fundusz sołecki 7.000zł) + dokumentacja</t>
  </si>
  <si>
    <t>Przebudowa i ocieplenie dachu - I etap oraz termomodernizacja elewacji - etap II budynku świetlicy wiejskiej w Miłkowicach</t>
  </si>
  <si>
    <t>Remont budynku Gminnego Ośrodka Kultury i Sportu w Siedliskach</t>
  </si>
  <si>
    <t>Dotacja celowa na zakup inw.</t>
  </si>
  <si>
    <t>GOKiS    Miłkowice</t>
  </si>
  <si>
    <t>Rozdział  92195: Pozostała działalność</t>
  </si>
  <si>
    <t>Budowa placu zabaw w Głuchowicach (fundusz sołecki)</t>
  </si>
  <si>
    <t>Rozbudowa placu zabaw wraz z budową terenu rekreacyjnego w Gniewomirowicach (fundusz sołecki)</t>
  </si>
  <si>
    <t>Budowa placu zabaw w Kochlicach (fundusz sołecki)</t>
  </si>
  <si>
    <t>Wybudowanie sceny na terenie sołectwa Siedliska (fundusz sołecki)</t>
  </si>
  <si>
    <t>Dział 926 : KULTURA FIZYCZNA</t>
  </si>
  <si>
    <t>Rozdział  92601: Obiekty sportowe</t>
  </si>
  <si>
    <t xml:space="preserve">Wyposażenie boiska sportowego w zaplecze kontenerowe szatniowo-sanitarne w Siedliskach </t>
  </si>
  <si>
    <t>Wyposażenie szatni w Siedliskach w przyłącze energetyczne oraz zagospodarowanie terenu (fundusz sołecki 4.000zł)</t>
  </si>
  <si>
    <t xml:space="preserve">Wykonanie przyłącza wodociągowego oraz zbiornika bezodpływowego na ścieki do szatni w Siedliskach </t>
  </si>
  <si>
    <t>Dotacja celowa na inwestycyje</t>
  </si>
  <si>
    <t>Przebudowa obiektu sportowego w Miłkowicach</t>
  </si>
  <si>
    <t>Razem wydatki inwestycyjne:</t>
  </si>
  <si>
    <r>
      <t xml:space="preserve">Budowa hydroforni wraz ze zbiornikiem w miejscowości Grzymalin                                                                 </t>
    </r>
    <r>
      <rPr>
        <b/>
        <sz val="10"/>
        <rFont val="Arial"/>
        <family val="2"/>
      </rPr>
      <t xml:space="preserve"> </t>
    </r>
  </si>
  <si>
    <r>
      <t xml:space="preserve">Budowa oświetlenia dróg i ulic na terenie Gminy Miłkowice                               </t>
    </r>
    <r>
      <rPr>
        <b/>
        <sz val="10"/>
        <rFont val="Arial"/>
        <family val="2"/>
      </rPr>
      <t xml:space="preserve">                                                   </t>
    </r>
  </si>
  <si>
    <t>Doposażenie OSP w Rzeszotarach w piłę łańcuchową (fundusz sołecki 5.000zł)</t>
  </si>
  <si>
    <t>Modernizacja centralnego ogrzewania Gminnego Ośrodka Zdrowia w Miłkowicach, zakup aparatury i sprzętu specjalistycznego</t>
  </si>
  <si>
    <t>Starostwo Powiatowe w Legnicy</t>
  </si>
  <si>
    <t>Wydatki  na programy i projekty realizowane ze środków pochodzących z funduszy strukturalnych i funduszu spójności Unii na rok 2012</t>
  </si>
  <si>
    <t>L.p</t>
  </si>
  <si>
    <t>Projekt</t>
  </si>
  <si>
    <t>Kategoria interwencji funduszy strukturalnych</t>
  </si>
  <si>
    <t>Klasyfikacja (dział, rozdział)</t>
  </si>
  <si>
    <t>Okres realizacji</t>
  </si>
  <si>
    <t>Przewidywane nakłady i źródła finansowania</t>
  </si>
  <si>
    <t>Planowane wydatki budżetowe na realizację zadań w roku 2012</t>
  </si>
  <si>
    <t>źródło</t>
  </si>
  <si>
    <t>wartość zadania ogółem:</t>
  </si>
  <si>
    <t>dotychczas poniesione nakłady</t>
  </si>
  <si>
    <t>Wydatki  majątkowe  razem:</t>
  </si>
  <si>
    <t>x</t>
  </si>
  <si>
    <t>1.</t>
  </si>
  <si>
    <t>010, 01010</t>
  </si>
  <si>
    <t>2012-2013</t>
  </si>
  <si>
    <t>Wartość zadania:</t>
  </si>
  <si>
    <t xml:space="preserve"> środki z budżetu j.s.t.</t>
  </si>
  <si>
    <t>środki budżetu krajowego</t>
  </si>
  <si>
    <t>kredyty i pożyczki</t>
  </si>
  <si>
    <t xml:space="preserve"> środki z UE</t>
  </si>
  <si>
    <t>2.</t>
  </si>
  <si>
    <t>921, 92109</t>
  </si>
  <si>
    <t>2012</t>
  </si>
  <si>
    <t>Wydatki  bieżące  razem:</t>
  </si>
  <si>
    <t>801, 80101</t>
  </si>
  <si>
    <t>2011-2013</t>
  </si>
  <si>
    <t>Wartość zadania</t>
  </si>
  <si>
    <t>środki budzetu j.s.t</t>
  </si>
  <si>
    <t>środki z UE</t>
  </si>
  <si>
    <t>852, 85219</t>
  </si>
  <si>
    <t>2010-2012</t>
  </si>
  <si>
    <t>3.</t>
  </si>
  <si>
    <t>921, 92195</t>
  </si>
  <si>
    <t>4.</t>
  </si>
  <si>
    <t>5.</t>
  </si>
  <si>
    <t>6.</t>
  </si>
  <si>
    <t>7.</t>
  </si>
  <si>
    <t>8.</t>
  </si>
  <si>
    <t>9.</t>
  </si>
  <si>
    <r>
      <t xml:space="preserve">Program: </t>
    </r>
    <r>
      <rPr>
        <sz val="10"/>
        <rFont val="Arial"/>
        <family val="2"/>
      </rPr>
      <t>Program Rozwoju Obszarów Wiejskich</t>
    </r>
  </si>
  <si>
    <r>
      <t xml:space="preserve">Oś 3: </t>
    </r>
    <r>
      <rPr>
        <sz val="10"/>
        <rFont val="Arial"/>
        <family val="2"/>
      </rPr>
      <t>Jakość życia na obszarach wiejskich i zróżnicowanie gospodarki wiejskiej</t>
    </r>
  </si>
  <si>
    <r>
      <t xml:space="preserve">Działanie: </t>
    </r>
    <r>
      <rPr>
        <sz val="10"/>
        <rFont val="Arial"/>
        <family val="2"/>
      </rPr>
      <t>Podstawowe usługi dla gospodarki i ludności wiejskiej</t>
    </r>
  </si>
  <si>
    <r>
      <t xml:space="preserve">Nazwa Projektu: </t>
    </r>
    <r>
      <rPr>
        <i/>
        <sz val="10"/>
        <color indexed="8"/>
        <rFont val="Arial"/>
        <family val="2"/>
      </rPr>
      <t>Budowa kanalizacji sanitarnej wraz z przyłączami na terenie Gminy Miłkowice: Zadanie 1: " II etap zadania Jezierzany, Jakuszów, Pątnówek, Bobrów"  - część Jakuszowa i Jezierzany Zadanie 2 "Gniewomirowice - Goślinów" Etap I Goslinów-Gniewom</t>
    </r>
  </si>
  <si>
    <r>
      <t xml:space="preserve">Oś 4: </t>
    </r>
    <r>
      <rPr>
        <sz val="10"/>
        <rFont val="Arial"/>
        <family val="2"/>
      </rPr>
      <t>Leader</t>
    </r>
  </si>
  <si>
    <r>
      <t xml:space="preserve">Działanie:  </t>
    </r>
    <r>
      <rPr>
        <sz val="10"/>
        <rFont val="Arial"/>
        <family val="2"/>
      </rPr>
      <t>Wdrażanie lokalnych strategii rozwoju</t>
    </r>
  </si>
  <si>
    <r>
      <t>Nazwa projektu:</t>
    </r>
    <r>
      <rPr>
        <i/>
        <sz val="10"/>
        <color indexed="8"/>
        <rFont val="Arial"/>
        <family val="2"/>
      </rPr>
      <t xml:space="preserve"> Przebudowa i ocieplenie dachu - I etap oraz termomodernizacja elewacji - etap II budynku świetlicy wiejskiej w Miłkowicach</t>
    </r>
  </si>
  <si>
    <r>
      <t>Nazwa projektu:</t>
    </r>
    <r>
      <rPr>
        <i/>
        <sz val="10"/>
        <color indexed="8"/>
        <rFont val="Arial"/>
        <family val="2"/>
      </rPr>
      <t xml:space="preserve"> Remont budynku Gminnego Ośrodka Kultury i Sportu w Siedliskach</t>
    </r>
  </si>
  <si>
    <r>
      <t xml:space="preserve">Program: </t>
    </r>
    <r>
      <rPr>
        <sz val="10"/>
        <rFont val="Arial"/>
        <family val="2"/>
      </rPr>
      <t>Europejski Fundusz Społeczny</t>
    </r>
  </si>
  <si>
    <r>
      <t>Priorytet:</t>
    </r>
    <r>
      <rPr>
        <sz val="10"/>
        <rFont val="Arial"/>
        <family val="2"/>
      </rPr>
      <t xml:space="preserve"> Rozwój wykształcenia i kompetencji w regionach</t>
    </r>
  </si>
  <si>
    <r>
      <t>Działanie:</t>
    </r>
    <r>
      <rPr>
        <sz val="10"/>
        <rFont val="Arial"/>
        <family val="2"/>
      </rPr>
      <t xml:space="preserve">  Wyrównywanie szans edukacyjnych i zapewnienie wysokiej jakości usług edukacyjnych świadczonych w systemie oświaty</t>
    </r>
  </si>
  <si>
    <r>
      <t xml:space="preserve">Nazwa projektu: </t>
    </r>
    <r>
      <rPr>
        <i/>
        <sz val="10"/>
        <color indexed="8"/>
        <rFont val="Arial"/>
        <family val="2"/>
      </rPr>
      <t>Indywidualizacja nauczania w klasach I-III w gminie Miłkowice</t>
    </r>
  </si>
  <si>
    <r>
      <t>Priorytet:</t>
    </r>
    <r>
      <rPr>
        <sz val="10"/>
        <rFont val="Arial"/>
        <family val="2"/>
      </rPr>
      <t xml:space="preserve"> Promocja integracji społecznej</t>
    </r>
  </si>
  <si>
    <r>
      <t>Działanie:</t>
    </r>
    <r>
      <rPr>
        <sz val="10"/>
        <rFont val="Arial"/>
        <family val="2"/>
      </rPr>
      <t xml:space="preserve">  Rozwój i upowszechnianie aktywnej integracji</t>
    </r>
  </si>
  <si>
    <r>
      <t xml:space="preserve">Nazwa projektu: </t>
    </r>
    <r>
      <rPr>
        <i/>
        <sz val="10"/>
        <color indexed="8"/>
        <rFont val="Arial"/>
        <family val="2"/>
      </rPr>
      <t>Razem lepiej</t>
    </r>
  </si>
  <si>
    <r>
      <t>Oś 4:</t>
    </r>
    <r>
      <rPr>
        <sz val="10"/>
        <rFont val="Arial"/>
        <family val="2"/>
      </rPr>
      <t xml:space="preserve"> Leader</t>
    </r>
  </si>
  <si>
    <r>
      <t>Działanie:</t>
    </r>
    <r>
      <rPr>
        <sz val="10"/>
        <rFont val="Arial"/>
        <family val="2"/>
      </rPr>
      <t xml:space="preserve">  Wdrażanie lokalnych strategii rozwoju</t>
    </r>
  </si>
  <si>
    <r>
      <t xml:space="preserve">Nazwa projektu: </t>
    </r>
    <r>
      <rPr>
        <i/>
        <sz val="10"/>
        <color indexed="8"/>
        <rFont val="Arial"/>
        <family val="2"/>
      </rPr>
      <t>II Festyn Integracyjny - Święto Grzymalina</t>
    </r>
  </si>
  <si>
    <r>
      <t xml:space="preserve">Nazwa projektu: </t>
    </r>
    <r>
      <rPr>
        <i/>
        <sz val="10"/>
        <color indexed="8"/>
        <rFont val="Arial"/>
        <family val="2"/>
      </rPr>
      <t>Doposażenie świetlicy w Ulesiu</t>
    </r>
  </si>
  <si>
    <r>
      <t xml:space="preserve">Nazwa projektu: </t>
    </r>
    <r>
      <rPr>
        <i/>
        <sz val="10"/>
        <color indexed="8"/>
        <rFont val="Arial"/>
        <family val="2"/>
      </rPr>
      <t>III Festyn Integracyjny we wsi Głuchowice</t>
    </r>
  </si>
  <si>
    <r>
      <t xml:space="preserve">Nazwa projektu: </t>
    </r>
    <r>
      <rPr>
        <i/>
        <sz val="10"/>
        <color indexed="8"/>
        <rFont val="Arial"/>
        <family val="2"/>
      </rPr>
      <t>Wzmocnienie aktywności KGW i społeczności lokalnej z terenu gminy Miłkowice poprzez zakup strojów</t>
    </r>
  </si>
  <si>
    <r>
      <t xml:space="preserve">Nazwa projektu: </t>
    </r>
    <r>
      <rPr>
        <i/>
        <sz val="10"/>
        <color indexed="8"/>
        <rFont val="Arial"/>
        <family val="2"/>
      </rPr>
      <t>Doposażenie świetlicy w Grzymalinie</t>
    </r>
  </si>
  <si>
    <r>
      <t xml:space="preserve">Nazwa projektu: </t>
    </r>
    <r>
      <rPr>
        <i/>
        <sz val="10"/>
        <color indexed="8"/>
        <rFont val="Arial"/>
        <family val="2"/>
      </rPr>
      <t>Odprowadzenie Księżnej - Przedstawienie historii Kolumny Łez</t>
    </r>
  </si>
  <si>
    <r>
      <t xml:space="preserve">Nazwa projektu: </t>
    </r>
    <r>
      <rPr>
        <i/>
        <sz val="10"/>
        <color indexed="8"/>
        <rFont val="Arial"/>
        <family val="2"/>
      </rPr>
      <t>III Festyn Integracyjny - Noc Świętojańska</t>
    </r>
  </si>
  <si>
    <t>Wykaz dotacji udzielanych z budżetu Gminy Miłkowice w roku 2012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</si>
  <si>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</si>
  <si>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</si>
  <si>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</si>
  <si>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</si>
  <si>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</si>
  <si>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</si>
  <si>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</si>
  <si>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</si>
  <si>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</si>
  <si>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</si>
  <si>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t>Dostarczanie wody</t>
  </si>
  <si>
    <t>dotacja do 1 km dróg gminnych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</si>
  <si>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</si>
  <si>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</si>
  <si>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</si>
  <si>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</si>
  <si>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</si>
  <si>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</si>
  <si>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</si>
  <si>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</si>
  <si>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</si>
  <si>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</si>
  <si>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</si>
  <si>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Pozostała działalność</t>
  </si>
  <si>
    <t>na realizację zadań gminy z zakresu rekreacji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</si>
  <si>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</si>
  <si>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</si>
  <si>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</si>
  <si>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</si>
  <si>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</si>
  <si>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</si>
  <si>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na koszty utrzymania dzieci upośledzonych uczęszczających do przedszkola </t>
  </si>
  <si>
    <t xml:space="preserve">  III. Dotacje celowe</t>
  </si>
  <si>
    <t xml:space="preserve">  III.1. Jednostki sektora finansów publicznych</t>
  </si>
  <si>
    <t>Przeciwdziałanie alkoholizmowi</t>
  </si>
  <si>
    <t>na realizację programów profilaktyki rozwiązywania problemów alkoholowych</t>
  </si>
  <si>
    <t>Lecznictwo ambulatoryjne</t>
  </si>
  <si>
    <t>Gminny Ośrodek Zdrowia w Miłkowicach</t>
  </si>
  <si>
    <t>na realizację programu "Profilaktyka zdrowego kręgosłupa"</t>
  </si>
  <si>
    <t>Infrastruktura wodociągowa i sanitacyjna wsi</t>
  </si>
  <si>
    <t>900</t>
  </si>
  <si>
    <t>90002</t>
  </si>
  <si>
    <t>926</t>
  </si>
  <si>
    <t>92601</t>
  </si>
  <si>
    <t>Obiekty sportowe</t>
  </si>
  <si>
    <t>sąsiednie gminy</t>
  </si>
  <si>
    <t>na koszty utrzymania dzieci z terenu Gminy Miłkowice uczęszczające do przedszkoli w sąsiednich gminach</t>
  </si>
  <si>
    <t>Zbiorowy transport lokalny</t>
  </si>
  <si>
    <t>Miasto Legnica</t>
  </si>
  <si>
    <t>na komunikację publiczną Ulesie-Legnica</t>
  </si>
  <si>
    <t>Drogi publiczne powiatowe</t>
  </si>
  <si>
    <t>Starostwo Powiatowe w  Legnicy</t>
  </si>
  <si>
    <t xml:space="preserve">  III.2. Jednostki spoza sektora finansów publicznych</t>
  </si>
  <si>
    <t>stowarzyszenia</t>
  </si>
  <si>
    <t>upowszechnianie kultury fizycznej sportu na terenie gminy</t>
  </si>
  <si>
    <t>Ochrona zabytków</t>
  </si>
  <si>
    <t>X</t>
  </si>
  <si>
    <t>na prace konserwatorskie, restauratorskie i roboty budowlane przy zabytkach</t>
  </si>
  <si>
    <t>na dofinansowanie zakupów inwestycyjnych</t>
  </si>
  <si>
    <t>Ogółem dotacje :</t>
  </si>
  <si>
    <t>w tym dotacje na zadania bieżące: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</si>
  <si>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</si>
  <si>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</si>
  <si>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</si>
  <si>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</t>
    </r>
  </si>
  <si>
    <r>
      <t xml:space="preserve">Remont budynku Gminnego Osrodka Kultury i Sportu w Siedliskach </t>
    </r>
    <r>
      <rPr>
        <i/>
        <sz val="10"/>
        <rFont val="Arial CE"/>
        <family val="0"/>
      </rPr>
      <t>(dotacja inwestycyjna)</t>
    </r>
  </si>
  <si>
    <r>
      <t>Budowa sieci wodociągowej dla osiedla domów jednorodzinnych Gniewomirowice II (</t>
    </r>
    <r>
      <rPr>
        <i/>
        <sz val="10"/>
        <rFont val="Arial CE"/>
        <family val="2"/>
      </rPr>
      <t>dotacja inwestycyjna)</t>
    </r>
  </si>
  <si>
    <r>
      <t>Modernizacja sieci wodociągowej na terenie Gminy Miłkowice (</t>
    </r>
    <r>
      <rPr>
        <i/>
        <sz val="10"/>
        <rFont val="Arial CE"/>
        <family val="2"/>
      </rPr>
      <t>dotacja inwestycyjna)</t>
    </r>
  </si>
  <si>
    <r>
      <t>Wymiana sieci wodociągowej w Miłkowicach os. PKP (</t>
    </r>
    <r>
      <rPr>
        <i/>
        <sz val="10"/>
        <rFont val="Arial CE"/>
        <family val="2"/>
      </rPr>
      <t>dotacja inwestycyjna)</t>
    </r>
  </si>
  <si>
    <r>
      <t>Budowa wodociągu w miejscowości Grzymalin (</t>
    </r>
    <r>
      <rPr>
        <i/>
        <sz val="10"/>
        <rFont val="Arial CE"/>
        <family val="2"/>
      </rPr>
      <t>dotacja inwestycyjna)</t>
    </r>
  </si>
  <si>
    <r>
      <t>Modernizacja sieci kanalizacyjnej na terenie Gminy Miłkowice (</t>
    </r>
    <r>
      <rPr>
        <i/>
        <sz val="10"/>
        <rFont val="Arial CE"/>
        <family val="2"/>
      </rPr>
      <t>dotacja inwestycyjna)</t>
    </r>
  </si>
  <si>
    <r>
      <t>Budowa sieci wodociągowej dla Strefy Aktywności Gospodarczej w Rzeszotarach (</t>
    </r>
    <r>
      <rPr>
        <i/>
        <sz val="10"/>
        <rFont val="Arial CE"/>
        <family val="2"/>
      </rPr>
      <t>dotacja inwestycyjna)</t>
    </r>
  </si>
  <si>
    <r>
      <t>Budowa hydroforni wraz ze zbiornikiem w miejscowości Grzymalin (</t>
    </r>
    <r>
      <rPr>
        <i/>
        <sz val="10"/>
        <rFont val="Arial CE"/>
        <family val="2"/>
      </rPr>
      <t>dotacja inwestycyjna)</t>
    </r>
  </si>
  <si>
    <r>
      <t>Zakup pojemników do selektywnej zbiórki odpadów (</t>
    </r>
    <r>
      <rPr>
        <i/>
        <sz val="10"/>
        <rFont val="Arial CE"/>
        <family val="2"/>
      </rPr>
      <t>dotacja inwestycyjna)</t>
    </r>
  </si>
  <si>
    <r>
      <t>Wykonanie przyłącza wodociągowego oraz zbiornika bezodpływowego na ścieki do szatni w Siedliskach  (</t>
    </r>
    <r>
      <rPr>
        <i/>
        <sz val="10"/>
        <rFont val="Arial CE"/>
        <family val="2"/>
      </rPr>
      <t>dotacja inwestycyjna)</t>
    </r>
  </si>
  <si>
    <r>
      <t>Remont drogi powiatowej nr 2214D (ul. Niedźwiedzicka) wraz z odwodnieniem w miejscowości Miłkowice</t>
    </r>
    <r>
      <rPr>
        <i/>
        <sz val="10"/>
        <rFont val="Arial CE"/>
        <family val="0"/>
      </rPr>
      <t xml:space="preserve"> (dotacja inwestycyjna)</t>
    </r>
  </si>
  <si>
    <r>
      <t>na modernizację centralnego ogrzewania ora zakup aparatury, sprzętu specjalistycznego i komputerowego (</t>
    </r>
    <r>
      <rPr>
        <i/>
        <sz val="10"/>
        <rFont val="Arial CE"/>
        <family val="0"/>
      </rPr>
      <t>dotacja inwestycyjna)</t>
    </r>
  </si>
  <si>
    <t>Wykaz wydatków w ramach funduszu sołeckiego na rok 2012</t>
  </si>
  <si>
    <t>Nazwa sołectwa</t>
  </si>
  <si>
    <t>Środki funduszu przypadajace na dane sołectwo (art.2 ust.1. Ustawy o funduszu sołeckim)</t>
  </si>
  <si>
    <t>Przedsięwzięcia przewidziane do realizacji wg wniosku sołectwa</t>
  </si>
  <si>
    <t>Wydatki w ramach funduszu</t>
  </si>
  <si>
    <t>01008 §4300</t>
  </si>
  <si>
    <t>60015 §2650</t>
  </si>
  <si>
    <t>60016 §4210</t>
  </si>
  <si>
    <t>60016 §6050</t>
  </si>
  <si>
    <t>75095 §4210</t>
  </si>
  <si>
    <t>75412 §4210</t>
  </si>
  <si>
    <t>75412 §6060</t>
  </si>
  <si>
    <t>80113 §4300</t>
  </si>
  <si>
    <t>90004 §4170</t>
  </si>
  <si>
    <t>90004 §4210</t>
  </si>
  <si>
    <t>90004 §6060</t>
  </si>
  <si>
    <t>90008 §4210</t>
  </si>
  <si>
    <t>90015 §4300</t>
  </si>
  <si>
    <t>92109 §4210</t>
  </si>
  <si>
    <t>92109 §6050</t>
  </si>
  <si>
    <t>92116 §4240</t>
  </si>
  <si>
    <t>92195 §4210</t>
  </si>
  <si>
    <t>92195 §4300</t>
  </si>
  <si>
    <t>92195 §6050</t>
  </si>
  <si>
    <t>92601 §4210</t>
  </si>
  <si>
    <t>92601 §6050</t>
  </si>
  <si>
    <t>92605 §4210</t>
  </si>
  <si>
    <t>92605 §4300</t>
  </si>
  <si>
    <t>Razem:</t>
  </si>
  <si>
    <t>O1008</t>
  </si>
  <si>
    <t>Bobrów</t>
  </si>
  <si>
    <t>Remont drogi Nr 258/4</t>
  </si>
  <si>
    <t>Głuchowice</t>
  </si>
  <si>
    <t xml:space="preserve">Budowa placu zabaw </t>
  </si>
  <si>
    <t>Promocja idei odnowy wsi, poprzez m.in. organizację "Pleneru rzeźbiarskiego"</t>
  </si>
  <si>
    <t>Gniewomirowice</t>
  </si>
  <si>
    <t>Poprawa oświetlenia na terenie sołectwa - zamontowanie dodatkowych punktów świetlnych</t>
  </si>
  <si>
    <t>w.bież.</t>
  </si>
  <si>
    <t>Zakup kosiarki do utrzymania terenów zielonych</t>
  </si>
  <si>
    <t>Utrzymanie placu zabaw</t>
  </si>
  <si>
    <t>Rozbudowa placu zabaw wraz z budową terenu rekreacyjnego</t>
  </si>
  <si>
    <t>ogółem</t>
  </si>
  <si>
    <t>Goślinów</t>
  </si>
  <si>
    <t>Promocja idei odnowy wsi, poprzez m.in. organizację festynu rodzinnego</t>
  </si>
  <si>
    <t>Wybudowanie sceny na terenie sołectwa</t>
  </si>
  <si>
    <t>Naprawa wiaty przystankowej</t>
  </si>
  <si>
    <t>Adaptacja i wyposażenie świetlicy kontenerowej</t>
  </si>
  <si>
    <t>Grzymalin</t>
  </si>
  <si>
    <t>Utrzymanie i konserwacja placu zabaw</t>
  </si>
  <si>
    <t>Utrzymanie terenów zielonych</t>
  </si>
  <si>
    <t>Promocja idei odnowy wsi, poprzez m.in. organizację "Święta Grzymalina"</t>
  </si>
  <si>
    <t>Dowóz dzieci do szkoły na zajęcia pozalekcyjne</t>
  </si>
  <si>
    <t>Remont świetlicy w budynku remizy strażackiej</t>
  </si>
  <si>
    <t>Jakuszów</t>
  </si>
  <si>
    <t xml:space="preserve">Zakup tablicy informacyjnej </t>
  </si>
  <si>
    <t>Promocja idei odnowy wsi, organizacja i udział w imprezach integracyjnych</t>
  </si>
  <si>
    <t>Adaptacja  pozyskanego budynku na świetlicę</t>
  </si>
  <si>
    <t>Jezierzany</t>
  </si>
  <si>
    <t>Konserwacja rowów melioracyjnych sprzętem mechanicznym</t>
  </si>
  <si>
    <t>Kochlice</t>
  </si>
  <si>
    <t>Miłkowice</t>
  </si>
  <si>
    <t>Zakup wyposażenia gastronomiczno-rekreacyjnego</t>
  </si>
  <si>
    <t>Doposażenie w sprzęt sportowy boiska ORLIK</t>
  </si>
  <si>
    <t xml:space="preserve">Doposażenie świetlicy wiejskiej </t>
  </si>
  <si>
    <t>Zakup mundurów koszarowych dla OSP Miłkowice</t>
  </si>
  <si>
    <t>Remont budynku świetlicy wiejskiej</t>
  </si>
  <si>
    <t>Pątnówek</t>
  </si>
  <si>
    <t>Remont świetlicy wiejskiej</t>
  </si>
  <si>
    <t>Promocja idei odnowy wsi, poprzez m.in. organizację Dożynek Wiejskich</t>
  </si>
  <si>
    <t>Zagospodarowanie byłego zbiornika p.poż. Na rekreacyjny terenu rekreacyjnego</t>
  </si>
  <si>
    <t>Rzeszotary-Dobrzejów</t>
  </si>
  <si>
    <t>Remont pomieszczeń dla KGW (Promocja tradycji dziedzictwa kulturowego)</t>
  </si>
  <si>
    <t>Doposażenie OSP w piłę łańcuchową</t>
  </si>
  <si>
    <t xml:space="preserve">Zakup namiotu rekreacyjnego </t>
  </si>
  <si>
    <t>Zagospodarowanie terenu sportowo-rekreacyjnego w Dobrzejowie</t>
  </si>
  <si>
    <t>Dofinansowanie sekcji szachowo warcabowej</t>
  </si>
  <si>
    <t>Zakup strojów sportowych dla drużyny młodzików</t>
  </si>
  <si>
    <t>Remont budynku świetlicy a OSP Rzeszotary (aktualizacja)</t>
  </si>
  <si>
    <t>Siedliska</t>
  </si>
  <si>
    <t>Zakup namiotu rekreacyjnego wraz z ławo-stołami</t>
  </si>
  <si>
    <t>Promocja idei odnowy wsi, poprzez m.in. organizację Dożynek Gminnych</t>
  </si>
  <si>
    <t>Wsparcie działań sportowych drużyn młodzików i juniorów</t>
  </si>
  <si>
    <t>Budowa szatni - dokumentacja</t>
  </si>
  <si>
    <t>Studnica</t>
  </si>
  <si>
    <t>Remont i doposażenie świetlicy wiejskiej</t>
  </si>
  <si>
    <t>Ulesie-Lipce</t>
  </si>
  <si>
    <t>Doposażenie świetlicy środowiskowej</t>
  </si>
  <si>
    <t>Zakup książek do Biblioteki w Ulesiu</t>
  </si>
  <si>
    <t xml:space="preserve">Suma środków przypadajaca na  wszystkie sołectwa </t>
  </si>
  <si>
    <t>Razem wydatki:</t>
  </si>
  <si>
    <t>Plan wydatków realizowanych w ramach funduszu sołeckiego w układzie działów i rozdziałów klasyfikacji budżetowej</t>
  </si>
  <si>
    <t>Wydatki majątkowe</t>
  </si>
  <si>
    <t>Wydatki bieżące</t>
  </si>
  <si>
    <t>01008</t>
  </si>
  <si>
    <t>600</t>
  </si>
  <si>
    <t>750</t>
  </si>
  <si>
    <t>754</t>
  </si>
  <si>
    <t>801</t>
  </si>
  <si>
    <t>921</t>
  </si>
  <si>
    <t>Suma</t>
  </si>
  <si>
    <t xml:space="preserve">Remont świetlicy wiejskiej i remizy OSP w Rzeszotarach (fundusz sołecki 7.000)                                     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</si>
</sst>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6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2"/>
      <name val="Arial CE"/>
      <family val="2"/>
    </font>
    <font>
      <sz val="10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5"/>
      <color indexed="8"/>
      <name val="Arial"/>
      <family val="0"/>
    </font>
    <font>
      <b/>
      <sz val="5.5"/>
      <color indexed="8"/>
      <name val="Arial"/>
      <family val="0"/>
    </font>
    <font>
      <sz val="5.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sz val="10"/>
      <color indexed="53"/>
      <name val="Arial"/>
      <family val="2"/>
    </font>
    <font>
      <sz val="10"/>
      <name val="Times New Roman CE"/>
      <family val="1"/>
    </font>
    <font>
      <sz val="9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i/>
      <sz val="10"/>
      <name val="Arial CE"/>
      <family val="0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73"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164" fontId="9" fillId="0" borderId="0" applyFill="0" applyBorder="0" applyAlignment="0" applyProtection="0"/>
    <xf numFmtId="41" fontId="12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9" fontId="12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23" borderId="9" applyNumberFormat="0" applyAlignment="0" applyProtection="0"/>
    <xf numFmtId="44" fontId="12" fillId="0" borderId="0" applyFill="0" applyBorder="0" applyAlignment="0" applyProtection="0"/>
    <xf numFmtId="42" fontId="12" fillId="0" borderId="0" applyFill="0" applyBorder="0" applyAlignment="0" applyProtection="0"/>
    <xf numFmtId="0" fontId="34" fillId="3" borderId="0" applyNumberFormat="0" applyBorder="0" applyAlignment="0" applyProtection="0"/>
  </cellStyleXfs>
  <cellXfs count="559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4" borderId="0" xfId="0" applyAlignment="1">
      <alignment horizontal="center" vertical="center" wrapText="1"/>
    </xf>
    <xf numFmtId="49" fontId="0" fillId="25" borderId="10" xfId="0" applyAlignment="1">
      <alignment horizontal="center" vertical="center" wrapText="1"/>
    </xf>
    <xf numFmtId="49" fontId="5" fillId="25" borderId="10" xfId="0" applyAlignment="1">
      <alignment horizontal="center" vertical="center" wrapText="1"/>
    </xf>
    <xf numFmtId="49" fontId="2" fillId="25" borderId="10" xfId="0" applyAlignment="1">
      <alignment horizontal="center" vertical="center" wrapText="1"/>
    </xf>
    <xf numFmtId="49" fontId="5" fillId="25" borderId="10" xfId="0" applyAlignment="1">
      <alignment horizontal="right" vertical="center" wrapText="1"/>
    </xf>
    <xf numFmtId="49" fontId="6" fillId="24" borderId="11" xfId="0" applyAlignment="1">
      <alignment horizontal="right" vertical="center" wrapText="1"/>
    </xf>
    <xf numFmtId="49" fontId="6" fillId="24" borderId="10" xfId="0" applyAlignment="1">
      <alignment horizontal="right" vertical="center" wrapText="1"/>
    </xf>
    <xf numFmtId="49" fontId="5" fillId="24" borderId="10" xfId="0" applyAlignment="1">
      <alignment horizontal="right" vertical="center" wrapText="1"/>
    </xf>
    <xf numFmtId="49" fontId="7" fillId="24" borderId="10" xfId="0" applyAlignment="1">
      <alignment horizontal="right" vertical="center" wrapText="1"/>
    </xf>
    <xf numFmtId="4" fontId="15" fillId="24" borderId="12" xfId="0" applyNumberFormat="1" applyFont="1" applyBorder="1" applyAlignment="1">
      <alignment horizontal="right" vertical="center" wrapText="1" shrinkToFit="1"/>
    </xf>
    <xf numFmtId="0" fontId="9" fillId="0" borderId="0" xfId="58" applyFill="1">
      <alignment/>
      <protection/>
    </xf>
    <xf numFmtId="49" fontId="5" fillId="25" borderId="10" xfId="0" applyFont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1" fontId="1" fillId="24" borderId="0" xfId="0" applyAlignment="1">
      <alignment horizontal="center" vertical="center" wrapText="1" shrinkToFit="1"/>
    </xf>
    <xf numFmtId="0" fontId="14" fillId="25" borderId="10" xfId="0" applyAlignment="1">
      <alignment horizontal="center" vertical="center" wrapText="1" shrinkToFit="1"/>
    </xf>
    <xf numFmtId="0" fontId="14" fillId="25" borderId="10" xfId="0" applyFont="1" applyAlignment="1">
      <alignment horizontal="center" vertical="center" wrapText="1" shrinkToFit="1"/>
    </xf>
    <xf numFmtId="1" fontId="14" fillId="24" borderId="0" xfId="0" applyFont="1" applyAlignment="1">
      <alignment horizontal="center" vertical="center" wrapText="1" shrinkToFit="1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25" borderId="10" xfId="0" applyAlignment="1">
      <alignment horizontal="left" vertical="center" wrapText="1" shrinkToFit="1"/>
    </xf>
    <xf numFmtId="4" fontId="14" fillId="25" borderId="10" xfId="0" applyNumberFormat="1" applyAlignment="1">
      <alignment horizontal="right" vertical="center" wrapText="1" shrinkToFit="1"/>
    </xf>
    <xf numFmtId="0" fontId="14" fillId="25" borderId="13" xfId="0" applyAlignment="1">
      <alignment horizontal="left" vertical="center" wrapText="1" shrinkToFit="1"/>
    </xf>
    <xf numFmtId="4" fontId="14" fillId="25" borderId="13" xfId="0" applyNumberFormat="1" applyAlignment="1">
      <alignment horizontal="right" vertical="center" wrapText="1" shrinkToFit="1"/>
    </xf>
    <xf numFmtId="0" fontId="14" fillId="25" borderId="10" xfId="0" applyAlignment="1">
      <alignment horizontal="right" vertical="center" wrapText="1" shrinkToFit="1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/>
      <protection locked="0"/>
    </xf>
    <xf numFmtId="0" fontId="14" fillId="25" borderId="14" xfId="0" applyBorder="1" applyAlignment="1">
      <alignment horizontal="left" vertical="center" wrapText="1" shrinkToFit="1"/>
    </xf>
    <xf numFmtId="4" fontId="14" fillId="25" borderId="14" xfId="0" applyNumberFormat="1" applyBorder="1" applyAlignment="1">
      <alignment horizontal="right" vertical="center" wrapText="1" shrinkToFit="1"/>
    </xf>
    <xf numFmtId="4" fontId="15" fillId="24" borderId="10" xfId="0" applyNumberFormat="1" applyFont="1" applyBorder="1" applyAlignment="1">
      <alignment horizontal="right" vertical="center" wrapText="1" shrinkToFit="1"/>
    </xf>
    <xf numFmtId="4" fontId="15" fillId="24" borderId="15" xfId="0" applyNumberFormat="1" applyFont="1" applyBorder="1" applyAlignment="1">
      <alignment horizontal="right" vertical="center" wrapText="1" shrinkToFit="1"/>
    </xf>
    <xf numFmtId="0" fontId="16" fillId="25" borderId="12" xfId="0" applyFont="1" applyBorder="1" applyAlignment="1">
      <alignment horizontal="left" vertical="center" wrapText="1" shrinkToFit="1"/>
    </xf>
    <xf numFmtId="0" fontId="16" fillId="25" borderId="10" xfId="0" applyFont="1" applyBorder="1" applyAlignment="1">
      <alignment horizontal="left" vertical="center" wrapText="1" shrinkToFit="1"/>
    </xf>
    <xf numFmtId="0" fontId="16" fillId="25" borderId="15" xfId="0" applyFont="1" applyBorder="1" applyAlignment="1">
      <alignment horizontal="left" vertical="center" wrapText="1" shrinkToFit="1"/>
    </xf>
    <xf numFmtId="0" fontId="36" fillId="0" borderId="0" xfId="60" applyFont="1" applyAlignment="1">
      <alignment vertical="center" wrapText="1"/>
      <protection/>
    </xf>
    <xf numFmtId="0" fontId="37" fillId="0" borderId="0" xfId="60" applyFont="1">
      <alignment/>
      <protection/>
    </xf>
    <xf numFmtId="0" fontId="38" fillId="0" borderId="0" xfId="60" applyFont="1">
      <alignment/>
      <protection/>
    </xf>
    <xf numFmtId="3" fontId="38" fillId="0" borderId="0" xfId="60" applyNumberFormat="1" applyFont="1">
      <alignment/>
      <protection/>
    </xf>
    <xf numFmtId="0" fontId="35" fillId="0" borderId="0" xfId="60" applyFont="1" applyAlignment="1">
      <alignment horizontal="center" vertical="center"/>
      <protection/>
    </xf>
    <xf numFmtId="0" fontId="39" fillId="0" borderId="0" xfId="60" applyFont="1" applyAlignment="1">
      <alignment textRotation="180"/>
      <protection/>
    </xf>
    <xf numFmtId="0" fontId="39" fillId="0" borderId="16" xfId="60" applyFont="1" applyFill="1" applyBorder="1" applyAlignment="1">
      <alignment horizontal="center" vertical="center" wrapText="1"/>
      <protection/>
    </xf>
    <xf numFmtId="0" fontId="39" fillId="0" borderId="0" xfId="60" applyFont="1" applyFill="1" applyAlignment="1">
      <alignment textRotation="180"/>
      <protection/>
    </xf>
    <xf numFmtId="0" fontId="38" fillId="0" borderId="0" xfId="60" applyFont="1" applyFill="1" applyAlignment="1">
      <alignment vertical="center" wrapText="1"/>
      <protection/>
    </xf>
    <xf numFmtId="0" fontId="39" fillId="0" borderId="17" xfId="60" applyFont="1" applyFill="1" applyBorder="1" applyAlignment="1">
      <alignment horizontal="center" vertical="center" wrapText="1"/>
      <protection/>
    </xf>
    <xf numFmtId="0" fontId="42" fillId="0" borderId="14" xfId="60" applyFont="1" applyFill="1" applyBorder="1" applyAlignment="1">
      <alignment horizontal="center" vertical="center" wrapText="1"/>
      <protection/>
    </xf>
    <xf numFmtId="0" fontId="42" fillId="0" borderId="18" xfId="60" applyFont="1" applyFill="1" applyBorder="1" applyAlignment="1">
      <alignment horizontal="center" vertical="center" wrapText="1"/>
      <protection/>
    </xf>
    <xf numFmtId="0" fontId="44" fillId="0" borderId="19" xfId="60" applyFont="1" applyFill="1" applyBorder="1" applyAlignment="1">
      <alignment horizontal="center" vertical="center" wrapText="1"/>
      <protection/>
    </xf>
    <xf numFmtId="0" fontId="44" fillId="0" borderId="14" xfId="60" applyFont="1" applyFill="1" applyBorder="1" applyAlignment="1">
      <alignment horizontal="center" vertical="center" wrapText="1"/>
      <protection/>
    </xf>
    <xf numFmtId="0" fontId="45" fillId="0" borderId="14" xfId="60" applyFont="1" applyFill="1" applyBorder="1" applyAlignment="1">
      <alignment horizontal="center" vertical="center" wrapText="1"/>
      <protection/>
    </xf>
    <xf numFmtId="0" fontId="45" fillId="0" borderId="20" xfId="60" applyFont="1" applyFill="1" applyBorder="1" applyAlignment="1">
      <alignment horizontal="center" vertical="center" wrapText="1"/>
      <protection/>
    </xf>
    <xf numFmtId="0" fontId="44" fillId="0" borderId="0" xfId="60" applyFont="1" applyFill="1" applyAlignment="1">
      <alignment horizontal="center" textRotation="180"/>
      <protection/>
    </xf>
    <xf numFmtId="0" fontId="44" fillId="0" borderId="0" xfId="60" applyFont="1" applyFill="1" applyAlignment="1">
      <alignment horizontal="center" vertical="center" wrapText="1"/>
      <protection/>
    </xf>
    <xf numFmtId="3" fontId="39" fillId="0" borderId="21" xfId="60" applyNumberFormat="1" applyFont="1" applyFill="1" applyBorder="1" applyAlignment="1">
      <alignment vertical="center" wrapText="1"/>
      <protection/>
    </xf>
    <xf numFmtId="3" fontId="39" fillId="0" borderId="22" xfId="60" applyNumberFormat="1" applyFont="1" applyFill="1" applyBorder="1" applyAlignment="1">
      <alignment vertical="center" wrapText="1"/>
      <protection/>
    </xf>
    <xf numFmtId="3" fontId="12" fillId="0" borderId="23" xfId="60" applyNumberFormat="1" applyFont="1" applyFill="1" applyBorder="1" applyAlignment="1">
      <alignment horizontal="center" vertical="center" wrapText="1"/>
      <protection/>
    </xf>
    <xf numFmtId="3" fontId="46" fillId="0" borderId="24" xfId="60" applyNumberFormat="1" applyFont="1" applyFill="1" applyBorder="1" applyAlignment="1">
      <alignment vertical="center" wrapText="1"/>
      <protection/>
    </xf>
    <xf numFmtId="3" fontId="46" fillId="0" borderId="25" xfId="60" applyNumberFormat="1" applyFont="1" applyFill="1" applyBorder="1" applyAlignment="1">
      <alignment vertical="center" wrapText="1"/>
      <protection/>
    </xf>
    <xf numFmtId="3" fontId="12" fillId="0" borderId="26" xfId="60" applyNumberFormat="1" applyFont="1" applyFill="1" applyBorder="1" applyAlignment="1">
      <alignment horizontal="center" vertical="center" wrapText="1"/>
      <protection/>
    </xf>
    <xf numFmtId="0" fontId="12" fillId="0" borderId="27" xfId="60" applyFont="1" applyFill="1" applyBorder="1" applyAlignment="1">
      <alignment horizontal="center" vertical="center" wrapText="1"/>
      <protection/>
    </xf>
    <xf numFmtId="0" fontId="12" fillId="0" borderId="28" xfId="60" applyFont="1" applyFill="1" applyBorder="1" applyAlignment="1">
      <alignment horizontal="left" vertical="center" wrapText="1"/>
      <protection/>
    </xf>
    <xf numFmtId="3" fontId="38" fillId="0" borderId="10" xfId="60" applyNumberFormat="1" applyFont="1" applyFill="1" applyBorder="1" applyAlignment="1">
      <alignment vertical="center" wrapText="1"/>
      <protection/>
    </xf>
    <xf numFmtId="3" fontId="38" fillId="0" borderId="28" xfId="60" applyNumberFormat="1" applyFont="1" applyFill="1" applyBorder="1" applyAlignment="1">
      <alignment vertical="center" wrapText="1"/>
      <protection/>
    </xf>
    <xf numFmtId="3" fontId="38" fillId="0" borderId="29" xfId="60" applyNumberFormat="1" applyFont="1" applyFill="1" applyBorder="1" applyAlignment="1">
      <alignment vertical="center" wrapText="1"/>
      <protection/>
    </xf>
    <xf numFmtId="3" fontId="47" fillId="0" borderId="28" xfId="61" applyNumberFormat="1" applyFont="1" applyFill="1" applyBorder="1" applyAlignment="1">
      <alignment horizontal="center" vertical="center" wrapText="1"/>
      <protection/>
    </xf>
    <xf numFmtId="3" fontId="12" fillId="0" borderId="30" xfId="60" applyNumberFormat="1" applyFont="1" applyFill="1" applyBorder="1" applyAlignment="1">
      <alignment horizontal="center" vertical="center" wrapText="1"/>
      <protection/>
    </xf>
    <xf numFmtId="0" fontId="12" fillId="0" borderId="10" xfId="61" applyFont="1" applyFill="1" applyBorder="1" applyAlignment="1">
      <alignment vertical="center" wrapText="1"/>
      <protection/>
    </xf>
    <xf numFmtId="3" fontId="47" fillId="0" borderId="28" xfId="60" applyNumberFormat="1" applyFont="1" applyFill="1" applyBorder="1" applyAlignment="1">
      <alignment horizontal="center" vertical="center" wrapText="1"/>
      <protection/>
    </xf>
    <xf numFmtId="3" fontId="10" fillId="0" borderId="28" xfId="60" applyNumberFormat="1" applyFont="1" applyFill="1" applyBorder="1" applyAlignment="1">
      <alignment horizontal="center" vertical="center" wrapText="1"/>
      <protection/>
    </xf>
    <xf numFmtId="3" fontId="12" fillId="0" borderId="31" xfId="60" applyNumberFormat="1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vertical="center" wrapText="1"/>
      <protection/>
    </xf>
    <xf numFmtId="0" fontId="12" fillId="0" borderId="32" xfId="60" applyFont="1" applyFill="1" applyBorder="1" applyAlignment="1">
      <alignment vertical="center" wrapText="1"/>
      <protection/>
    </xf>
    <xf numFmtId="3" fontId="38" fillId="0" borderId="32" xfId="60" applyNumberFormat="1" applyFont="1" applyFill="1" applyBorder="1" applyAlignment="1">
      <alignment vertical="center" wrapText="1"/>
      <protection/>
    </xf>
    <xf numFmtId="3" fontId="38" fillId="0" borderId="33" xfId="60" applyNumberFormat="1" applyFont="1" applyFill="1" applyBorder="1" applyAlignment="1">
      <alignment vertical="center" wrapText="1"/>
      <protection/>
    </xf>
    <xf numFmtId="3" fontId="12" fillId="0" borderId="20" xfId="60" applyNumberFormat="1" applyFont="1" applyFill="1" applyBorder="1" applyAlignment="1">
      <alignment horizontal="center" vertical="center" wrapText="1"/>
      <protection/>
    </xf>
    <xf numFmtId="0" fontId="12" fillId="0" borderId="34" xfId="61" applyFont="1" applyFill="1" applyBorder="1" applyAlignment="1">
      <alignment horizontal="center" vertical="center" wrapText="1"/>
      <protection/>
    </xf>
    <xf numFmtId="0" fontId="12" fillId="0" borderId="35" xfId="61" applyFont="1" applyFill="1" applyBorder="1" applyAlignment="1">
      <alignment horizontal="left" vertical="center" wrapText="1"/>
      <protection/>
    </xf>
    <xf numFmtId="3" fontId="38" fillId="0" borderId="35" xfId="61" applyNumberFormat="1" applyFont="1" applyFill="1" applyBorder="1" applyAlignment="1">
      <alignment vertical="center" wrapText="1"/>
      <protection/>
    </xf>
    <xf numFmtId="3" fontId="49" fillId="0" borderId="35" xfId="61" applyNumberFormat="1" applyFont="1" applyFill="1" applyBorder="1" applyAlignment="1">
      <alignment vertical="center" wrapText="1"/>
      <protection/>
    </xf>
    <xf numFmtId="0" fontId="39" fillId="0" borderId="0" xfId="61" applyFont="1" applyFill="1" applyAlignment="1">
      <alignment textRotation="180"/>
      <protection/>
    </xf>
    <xf numFmtId="0" fontId="38" fillId="0" borderId="0" xfId="61" applyFont="1" applyFill="1" applyAlignment="1">
      <alignment vertical="center" wrapText="1"/>
      <protection/>
    </xf>
    <xf numFmtId="0" fontId="12" fillId="0" borderId="36" xfId="61" applyFont="1" applyFill="1" applyBorder="1" applyAlignment="1">
      <alignment horizontal="center" vertical="center" wrapText="1"/>
      <protection/>
    </xf>
    <xf numFmtId="0" fontId="12" fillId="0" borderId="37" xfId="61" applyFont="1" applyFill="1" applyBorder="1" applyAlignment="1">
      <alignment horizontal="left" vertical="center" wrapText="1"/>
      <protection/>
    </xf>
    <xf numFmtId="3" fontId="38" fillId="0" borderId="32" xfId="61" applyNumberFormat="1" applyFont="1" applyFill="1" applyBorder="1" applyAlignment="1">
      <alignment vertical="center" wrapText="1"/>
      <protection/>
    </xf>
    <xf numFmtId="3" fontId="49" fillId="0" borderId="37" xfId="61" applyNumberFormat="1" applyFont="1" applyFill="1" applyBorder="1" applyAlignment="1">
      <alignment vertical="center" wrapText="1"/>
      <protection/>
    </xf>
    <xf numFmtId="3" fontId="38" fillId="0" borderId="37" xfId="61" applyNumberFormat="1" applyFont="1" applyFill="1" applyBorder="1" applyAlignment="1">
      <alignment vertical="center" wrapText="1"/>
      <protection/>
    </xf>
    <xf numFmtId="3" fontId="12" fillId="0" borderId="38" xfId="60" applyNumberFormat="1" applyFont="1" applyFill="1" applyBorder="1" applyAlignment="1">
      <alignment horizontal="center" vertical="center" wrapText="1"/>
      <protection/>
    </xf>
    <xf numFmtId="3" fontId="47" fillId="0" borderId="28" xfId="61" applyNumberFormat="1" applyFont="1" applyFill="1" applyBorder="1" applyAlignment="1">
      <alignment vertical="center" wrapText="1"/>
      <protection/>
    </xf>
    <xf numFmtId="3" fontId="39" fillId="0" borderId="39" xfId="60" applyNumberFormat="1" applyFont="1" applyFill="1" applyBorder="1" applyAlignment="1">
      <alignment vertical="center" wrapText="1"/>
      <protection/>
    </xf>
    <xf numFmtId="3" fontId="39" fillId="0" borderId="40" xfId="60" applyNumberFormat="1" applyFont="1" applyFill="1" applyBorder="1" applyAlignment="1">
      <alignment vertical="center" wrapText="1"/>
      <protection/>
    </xf>
    <xf numFmtId="3" fontId="12" fillId="0" borderId="41" xfId="60" applyNumberFormat="1" applyFont="1" applyFill="1" applyBorder="1" applyAlignment="1">
      <alignment horizontal="center" vertical="center" wrapText="1"/>
      <protection/>
    </xf>
    <xf numFmtId="0" fontId="12" fillId="0" borderId="27" xfId="61" applyFont="1" applyFill="1" applyBorder="1" applyAlignment="1">
      <alignment horizontal="center" vertical="center" wrapText="1"/>
      <protection/>
    </xf>
    <xf numFmtId="0" fontId="12" fillId="0" borderId="28" xfId="61" applyFont="1" applyFill="1" applyBorder="1" applyAlignment="1">
      <alignment horizontal="left" vertical="center" wrapText="1"/>
      <protection/>
    </xf>
    <xf numFmtId="3" fontId="38" fillId="0" borderId="10" xfId="61" applyNumberFormat="1" applyFont="1" applyFill="1" applyBorder="1" applyAlignment="1">
      <alignment vertical="center" wrapText="1"/>
      <protection/>
    </xf>
    <xf numFmtId="3" fontId="49" fillId="0" borderId="28" xfId="61" applyNumberFormat="1" applyFont="1" applyFill="1" applyBorder="1" applyAlignment="1">
      <alignment vertical="center" wrapText="1"/>
      <protection/>
    </xf>
    <xf numFmtId="3" fontId="38" fillId="0" borderId="28" xfId="61" applyNumberFormat="1" applyFont="1" applyFill="1" applyBorder="1" applyAlignment="1">
      <alignment vertical="center" wrapText="1"/>
      <protection/>
    </xf>
    <xf numFmtId="3" fontId="47" fillId="0" borderId="42" xfId="61" applyNumberFormat="1" applyFont="1" applyFill="1" applyBorder="1" applyAlignment="1">
      <alignment vertical="center" wrapText="1"/>
      <protection/>
    </xf>
    <xf numFmtId="3" fontId="47" fillId="0" borderId="10" xfId="61" applyNumberFormat="1" applyFont="1" applyFill="1" applyBorder="1" applyAlignment="1">
      <alignment vertical="center" wrapText="1"/>
      <protection/>
    </xf>
    <xf numFmtId="0" fontId="12" fillId="0" borderId="43" xfId="61" applyFont="1" applyFill="1" applyBorder="1" applyAlignment="1">
      <alignment horizontal="center" vertical="center" wrapText="1"/>
      <protection/>
    </xf>
    <xf numFmtId="3" fontId="47" fillId="0" borderId="37" xfId="61" applyNumberFormat="1" applyFont="1" applyFill="1" applyBorder="1" applyAlignment="1">
      <alignment vertical="center" wrapText="1"/>
      <protection/>
    </xf>
    <xf numFmtId="0" fontId="12" fillId="0" borderId="44" xfId="61" applyFont="1" applyFill="1" applyBorder="1" applyAlignment="1">
      <alignment horizontal="center" vertical="center" wrapText="1"/>
      <protection/>
    </xf>
    <xf numFmtId="0" fontId="12" fillId="0" borderId="45" xfId="61" applyFont="1" applyFill="1" applyBorder="1" applyAlignment="1">
      <alignment horizontal="left" vertical="center" wrapText="1"/>
      <protection/>
    </xf>
    <xf numFmtId="3" fontId="38" fillId="0" borderId="45" xfId="61" applyNumberFormat="1" applyFont="1" applyFill="1" applyBorder="1" applyAlignment="1">
      <alignment vertical="center" wrapText="1"/>
      <protection/>
    </xf>
    <xf numFmtId="3" fontId="49" fillId="0" borderId="45" xfId="61" applyNumberFormat="1" applyFont="1" applyFill="1" applyBorder="1" applyAlignment="1">
      <alignment vertical="center" wrapText="1"/>
      <protection/>
    </xf>
    <xf numFmtId="3" fontId="46" fillId="0" borderId="46" xfId="60" applyNumberFormat="1" applyFont="1" applyFill="1" applyBorder="1" applyAlignment="1">
      <alignment vertical="center" wrapText="1"/>
      <protection/>
    </xf>
    <xf numFmtId="3" fontId="46" fillId="0" borderId="47" xfId="60" applyNumberFormat="1" applyFont="1" applyFill="1" applyBorder="1" applyAlignment="1">
      <alignment vertical="center" wrapText="1"/>
      <protection/>
    </xf>
    <xf numFmtId="3" fontId="12" fillId="0" borderId="48" xfId="60" applyNumberFormat="1" applyFont="1" applyFill="1" applyBorder="1" applyAlignment="1">
      <alignment horizontal="center" vertical="center" wrapText="1"/>
      <protection/>
    </xf>
    <xf numFmtId="0" fontId="12" fillId="0" borderId="49" xfId="60" applyFont="1" applyFill="1" applyBorder="1" applyAlignment="1">
      <alignment horizontal="center" vertical="center" wrapText="1"/>
      <protection/>
    </xf>
    <xf numFmtId="0" fontId="12" fillId="0" borderId="45" xfId="60" applyFont="1" applyFill="1" applyBorder="1" applyAlignment="1">
      <alignment horizontal="left" vertical="center" wrapText="1"/>
      <protection/>
    </xf>
    <xf numFmtId="3" fontId="38" fillId="0" borderId="45" xfId="60" applyNumberFormat="1" applyFont="1" applyFill="1" applyBorder="1" applyAlignment="1">
      <alignment vertical="center" wrapText="1"/>
      <protection/>
    </xf>
    <xf numFmtId="3" fontId="38" fillId="0" borderId="50" xfId="60" applyNumberFormat="1" applyFont="1" applyFill="1" applyBorder="1" applyAlignment="1">
      <alignment vertical="center" wrapText="1"/>
      <protection/>
    </xf>
    <xf numFmtId="3" fontId="47" fillId="0" borderId="45" xfId="61" applyNumberFormat="1" applyFont="1" applyFill="1" applyBorder="1" applyAlignment="1">
      <alignment vertical="center" wrapText="1"/>
      <protection/>
    </xf>
    <xf numFmtId="3" fontId="12" fillId="0" borderId="51" xfId="60" applyNumberFormat="1" applyFont="1" applyFill="1" applyBorder="1" applyAlignment="1">
      <alignment horizontal="center" vertical="center" wrapText="1"/>
      <protection/>
    </xf>
    <xf numFmtId="4" fontId="39" fillId="0" borderId="21" xfId="55" applyNumberFormat="1" applyFont="1" applyFill="1" applyBorder="1" applyAlignment="1">
      <alignment vertical="center" wrapText="1"/>
      <protection/>
    </xf>
    <xf numFmtId="3" fontId="39" fillId="0" borderId="21" xfId="55" applyNumberFormat="1" applyFont="1" applyFill="1" applyBorder="1" applyAlignment="1">
      <alignment vertical="center" wrapText="1"/>
      <protection/>
    </xf>
    <xf numFmtId="0" fontId="12" fillId="0" borderId="23" xfId="60" applyFont="1" applyFill="1" applyBorder="1" applyAlignment="1">
      <alignment horizontal="center" vertical="center" wrapText="1"/>
      <protection/>
    </xf>
    <xf numFmtId="0" fontId="39" fillId="0" borderId="0" xfId="55" applyFont="1" applyFill="1" applyAlignment="1">
      <alignment textRotation="180"/>
      <protection/>
    </xf>
    <xf numFmtId="0" fontId="38" fillId="0" borderId="0" xfId="55" applyFont="1" applyFill="1" applyAlignment="1">
      <alignment vertical="center" wrapText="1"/>
      <protection/>
    </xf>
    <xf numFmtId="4" fontId="46" fillId="0" borderId="24" xfId="55" applyNumberFormat="1" applyFont="1" applyFill="1" applyBorder="1" applyAlignment="1">
      <alignment vertical="center" wrapText="1"/>
      <protection/>
    </xf>
    <xf numFmtId="3" fontId="46" fillId="0" borderId="24" xfId="55" applyNumberFormat="1" applyFont="1" applyFill="1" applyBorder="1" applyAlignment="1">
      <alignment vertical="center" wrapText="1"/>
      <protection/>
    </xf>
    <xf numFmtId="0" fontId="12" fillId="0" borderId="26" xfId="60" applyFont="1" applyFill="1" applyBorder="1" applyAlignment="1">
      <alignment horizontal="center" vertical="center" wrapText="1"/>
      <protection/>
    </xf>
    <xf numFmtId="0" fontId="38" fillId="0" borderId="52" xfId="60" applyFont="1" applyFill="1" applyBorder="1" applyAlignment="1">
      <alignment horizontal="center" vertical="center" wrapText="1"/>
      <protection/>
    </xf>
    <xf numFmtId="0" fontId="12" fillId="0" borderId="42" xfId="60" applyFont="1" applyFill="1" applyBorder="1" applyAlignment="1">
      <alignment vertical="center" wrapText="1"/>
      <protection/>
    </xf>
    <xf numFmtId="3" fontId="38" fillId="0" borderId="42" xfId="60" applyNumberFormat="1" applyFont="1" applyFill="1" applyBorder="1" applyAlignment="1">
      <alignment vertical="center" wrapText="1"/>
      <protection/>
    </xf>
    <xf numFmtId="3" fontId="12" fillId="0" borderId="53" xfId="60" applyNumberFormat="1" applyFont="1" applyFill="1" applyBorder="1" applyAlignment="1">
      <alignment horizontal="center" vertical="center" wrapText="1"/>
      <protection/>
    </xf>
    <xf numFmtId="0" fontId="38" fillId="0" borderId="27" xfId="60" applyFont="1" applyFill="1" applyBorder="1" applyAlignment="1">
      <alignment horizontal="center" vertical="center" wrapText="1"/>
      <protection/>
    </xf>
    <xf numFmtId="0" fontId="12" fillId="0" borderId="28" xfId="60" applyFont="1" applyFill="1" applyBorder="1" applyAlignment="1">
      <alignment vertical="center" wrapText="1"/>
      <protection/>
    </xf>
    <xf numFmtId="3" fontId="38" fillId="0" borderId="54" xfId="60" applyNumberFormat="1" applyFont="1" applyFill="1" applyBorder="1" applyAlignment="1">
      <alignment vertical="center" wrapText="1"/>
      <protection/>
    </xf>
    <xf numFmtId="3" fontId="12" fillId="0" borderId="55" xfId="60" applyNumberFormat="1" applyFont="1" applyFill="1" applyBorder="1" applyAlignment="1">
      <alignment horizontal="center" vertical="center" wrapText="1"/>
      <protection/>
    </xf>
    <xf numFmtId="3" fontId="38" fillId="0" borderId="37" xfId="60" applyNumberFormat="1" applyFont="1" applyFill="1" applyBorder="1" applyAlignment="1">
      <alignment vertical="center" wrapText="1"/>
      <protection/>
    </xf>
    <xf numFmtId="4" fontId="38" fillId="0" borderId="37" xfId="60" applyNumberFormat="1" applyFont="1" applyFill="1" applyBorder="1" applyAlignment="1">
      <alignment vertical="center" wrapText="1"/>
      <protection/>
    </xf>
    <xf numFmtId="4" fontId="38" fillId="0" borderId="28" xfId="60" applyNumberFormat="1" applyFont="1" applyFill="1" applyBorder="1" applyAlignment="1">
      <alignment vertical="center" wrapText="1"/>
      <protection/>
    </xf>
    <xf numFmtId="0" fontId="38" fillId="0" borderId="56" xfId="60" applyFont="1" applyFill="1" applyBorder="1" applyAlignment="1">
      <alignment horizontal="center" vertical="center" wrapText="1"/>
      <protection/>
    </xf>
    <xf numFmtId="0" fontId="12" fillId="0" borderId="57" xfId="60" applyFont="1" applyFill="1" applyBorder="1" applyAlignment="1">
      <alignment vertical="center" wrapText="1"/>
      <protection/>
    </xf>
    <xf numFmtId="3" fontId="10" fillId="0" borderId="28" xfId="61" applyNumberFormat="1" applyFont="1" applyFill="1" applyBorder="1" applyAlignment="1">
      <alignment horizontal="left" vertical="center" wrapText="1"/>
      <protection/>
    </xf>
    <xf numFmtId="0" fontId="38" fillId="0" borderId="34" xfId="60" applyFont="1" applyFill="1" applyBorder="1" applyAlignment="1">
      <alignment horizontal="center" vertical="center" wrapText="1"/>
      <protection/>
    </xf>
    <xf numFmtId="0" fontId="12" fillId="0" borderId="35" xfId="60" applyFont="1" applyFill="1" applyBorder="1" applyAlignment="1">
      <alignment vertical="center" wrapText="1"/>
      <protection/>
    </xf>
    <xf numFmtId="3" fontId="38" fillId="0" borderId="35" xfId="60" applyNumberFormat="1" applyFont="1" applyFill="1" applyBorder="1" applyAlignment="1">
      <alignment vertical="center" wrapText="1"/>
      <protection/>
    </xf>
    <xf numFmtId="3" fontId="10" fillId="0" borderId="35" xfId="60" applyNumberFormat="1" applyFont="1" applyFill="1" applyBorder="1" applyAlignment="1">
      <alignment vertical="center" wrapText="1"/>
      <protection/>
    </xf>
    <xf numFmtId="3" fontId="10" fillId="0" borderId="28" xfId="60" applyNumberFormat="1" applyFont="1" applyFill="1" applyBorder="1" applyAlignment="1">
      <alignment vertical="center" wrapText="1"/>
      <protection/>
    </xf>
    <xf numFmtId="0" fontId="12" fillId="0" borderId="41" xfId="60" applyFont="1" applyFill="1" applyBorder="1" applyAlignment="1">
      <alignment horizontal="center" vertical="center" wrapText="1"/>
      <protection/>
    </xf>
    <xf numFmtId="3" fontId="46" fillId="0" borderId="24" xfId="61" applyNumberFormat="1" applyFont="1" applyFill="1" applyBorder="1" applyAlignment="1">
      <alignment vertical="center" wrapText="1"/>
      <protection/>
    </xf>
    <xf numFmtId="3" fontId="46" fillId="0" borderId="58" xfId="61" applyNumberFormat="1" applyFont="1" applyFill="1" applyBorder="1" applyAlignment="1">
      <alignment vertical="center" wrapText="1"/>
      <protection/>
    </xf>
    <xf numFmtId="3" fontId="46" fillId="0" borderId="59" xfId="61" applyNumberFormat="1" applyFont="1" applyFill="1" applyBorder="1" applyAlignment="1">
      <alignment horizontal="center" vertical="center" wrapText="1"/>
      <protection/>
    </xf>
    <xf numFmtId="0" fontId="38" fillId="0" borderId="0" xfId="61" applyFont="1" applyFill="1" applyBorder="1" applyAlignment="1">
      <alignment vertical="center" wrapText="1"/>
      <protection/>
    </xf>
    <xf numFmtId="3" fontId="46" fillId="0" borderId="58" xfId="60" applyNumberFormat="1" applyFont="1" applyFill="1" applyBorder="1" applyAlignment="1">
      <alignment vertical="center" wrapText="1"/>
      <protection/>
    </xf>
    <xf numFmtId="3" fontId="46" fillId="0" borderId="60" xfId="60" applyNumberFormat="1" applyFont="1" applyFill="1" applyBorder="1" applyAlignment="1">
      <alignment vertical="center" wrapText="1"/>
      <protection/>
    </xf>
    <xf numFmtId="3" fontId="46" fillId="0" borderId="59" xfId="60" applyNumberFormat="1" applyFont="1" applyFill="1" applyBorder="1" applyAlignment="1">
      <alignment horizontal="center" vertical="center" wrapText="1"/>
      <protection/>
    </xf>
    <xf numFmtId="3" fontId="10" fillId="0" borderId="28" xfId="60" applyNumberFormat="1" applyFont="1" applyFill="1" applyBorder="1" applyAlignment="1">
      <alignment horizontal="left" vertical="center" wrapText="1"/>
      <protection/>
    </xf>
    <xf numFmtId="3" fontId="39" fillId="0" borderId="39" xfId="55" applyNumberFormat="1" applyFont="1" applyFill="1" applyBorder="1" applyAlignment="1">
      <alignment vertical="center" wrapText="1"/>
      <protection/>
    </xf>
    <xf numFmtId="3" fontId="46" fillId="0" borderId="58" xfId="55" applyNumberFormat="1" applyFont="1" applyFill="1" applyBorder="1" applyAlignment="1">
      <alignment vertical="center" wrapText="1"/>
      <protection/>
    </xf>
    <xf numFmtId="0" fontId="12" fillId="0" borderId="59" xfId="60" applyFont="1" applyFill="1" applyBorder="1" applyAlignment="1">
      <alignment horizontal="center" vertical="center" wrapText="1"/>
      <protection/>
    </xf>
    <xf numFmtId="0" fontId="12" fillId="0" borderId="61" xfId="60" applyFont="1" applyFill="1" applyBorder="1" applyAlignment="1">
      <alignment horizontal="center" vertical="center" wrapText="1"/>
      <protection/>
    </xf>
    <xf numFmtId="3" fontId="10" fillId="0" borderId="10" xfId="60" applyNumberFormat="1" applyFont="1" applyFill="1" applyBorder="1" applyAlignment="1">
      <alignment vertical="center" wrapText="1"/>
      <protection/>
    </xf>
    <xf numFmtId="0" fontId="12" fillId="0" borderId="30" xfId="61" applyFont="1" applyFill="1" applyBorder="1" applyAlignment="1">
      <alignment horizontal="center" vertical="center" wrapText="1"/>
      <protection/>
    </xf>
    <xf numFmtId="0" fontId="12" fillId="0" borderId="34" xfId="55" applyFont="1" applyFill="1" applyBorder="1" applyAlignment="1">
      <alignment horizontal="center" vertical="center" wrapText="1"/>
      <protection/>
    </xf>
    <xf numFmtId="3" fontId="12" fillId="0" borderId="35" xfId="55" applyNumberFormat="1" applyFont="1" applyFill="1" applyBorder="1" applyAlignment="1">
      <alignment horizontal="right" vertical="center" wrapText="1"/>
      <protection/>
    </xf>
    <xf numFmtId="3" fontId="38" fillId="0" borderId="35" xfId="55" applyNumberFormat="1" applyFont="1" applyFill="1" applyBorder="1" applyAlignment="1">
      <alignment horizontal="right" vertical="center" wrapText="1"/>
      <protection/>
    </xf>
    <xf numFmtId="3" fontId="12" fillId="0" borderId="35" xfId="55" applyNumberFormat="1" applyFont="1" applyFill="1" applyBorder="1" applyAlignment="1">
      <alignment horizontal="center" vertical="center" wrapText="1"/>
      <protection/>
    </xf>
    <xf numFmtId="0" fontId="12" fillId="0" borderId="62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vertical="center" wrapText="1"/>
      <protection/>
    </xf>
    <xf numFmtId="3" fontId="38" fillId="0" borderId="18" xfId="60" applyNumberFormat="1" applyFont="1" applyFill="1" applyBorder="1" applyAlignment="1">
      <alignment vertical="center" wrapText="1"/>
      <protection/>
    </xf>
    <xf numFmtId="3" fontId="10" fillId="0" borderId="18" xfId="60" applyNumberFormat="1" applyFont="1" applyFill="1" applyBorder="1" applyAlignment="1">
      <alignment vertical="center" wrapText="1"/>
      <protection/>
    </xf>
    <xf numFmtId="3" fontId="46" fillId="0" borderId="26" xfId="60" applyNumberFormat="1" applyFont="1" applyFill="1" applyBorder="1" applyAlignment="1">
      <alignment horizontal="center" vertical="center" wrapText="1"/>
      <protection/>
    </xf>
    <xf numFmtId="0" fontId="12" fillId="0" borderId="52" xfId="60" applyFont="1" applyFill="1" applyBorder="1" applyAlignment="1">
      <alignment horizontal="center" vertical="center" wrapText="1"/>
      <protection/>
    </xf>
    <xf numFmtId="3" fontId="10" fillId="0" borderId="42" xfId="61" applyNumberFormat="1" applyFont="1" applyFill="1" applyBorder="1" applyAlignment="1">
      <alignment horizontal="left" vertical="center" wrapText="1"/>
      <protection/>
    </xf>
    <xf numFmtId="0" fontId="12" fillId="0" borderId="36" xfId="60" applyFont="1" applyFill="1" applyBorder="1" applyAlignment="1">
      <alignment horizontal="center" vertical="center" wrapText="1"/>
      <protection/>
    </xf>
    <xf numFmtId="3" fontId="10" fillId="0" borderId="37" xfId="61" applyNumberFormat="1" applyFont="1" applyFill="1" applyBorder="1" applyAlignment="1">
      <alignment horizontal="left" vertical="center" wrapText="1"/>
      <protection/>
    </xf>
    <xf numFmtId="0" fontId="12" fillId="0" borderId="38" xfId="61" applyFont="1" applyFill="1" applyBorder="1" applyAlignment="1">
      <alignment horizontal="center" vertical="center" wrapText="1"/>
      <protection/>
    </xf>
    <xf numFmtId="0" fontId="12" fillId="0" borderId="63" xfId="59" applyFont="1" applyFill="1" applyBorder="1" applyAlignment="1">
      <alignment vertical="center" wrapText="1"/>
      <protection/>
    </xf>
    <xf numFmtId="3" fontId="12" fillId="0" borderId="64" xfId="60" applyNumberFormat="1" applyFont="1" applyFill="1" applyBorder="1" applyAlignment="1">
      <alignment horizontal="center" vertical="center" wrapText="1"/>
      <protection/>
    </xf>
    <xf numFmtId="0" fontId="39" fillId="0" borderId="65" xfId="60" applyFont="1" applyFill="1" applyBorder="1" applyAlignment="1">
      <alignment vertical="center" wrapText="1"/>
      <protection/>
    </xf>
    <xf numFmtId="0" fontId="39" fillId="0" borderId="66" xfId="60" applyFont="1" applyFill="1" applyBorder="1" applyAlignment="1">
      <alignment horizontal="center" vertical="center" wrapText="1"/>
      <protection/>
    </xf>
    <xf numFmtId="4" fontId="39" fillId="0" borderId="66" xfId="60" applyNumberFormat="1" applyFont="1" applyFill="1" applyBorder="1" applyAlignment="1">
      <alignment vertical="center" wrapText="1"/>
      <protection/>
    </xf>
    <xf numFmtId="3" fontId="39" fillId="0" borderId="66" xfId="60" applyNumberFormat="1" applyFont="1" applyFill="1" applyBorder="1" applyAlignment="1">
      <alignment vertical="center" wrapText="1"/>
      <protection/>
    </xf>
    <xf numFmtId="3" fontId="39" fillId="0" borderId="41" xfId="60" applyNumberFormat="1" applyFont="1" applyFill="1" applyBorder="1" applyAlignment="1">
      <alignment horizontal="center" vertical="center" wrapText="1"/>
      <protection/>
    </xf>
    <xf numFmtId="0" fontId="50" fillId="0" borderId="0" xfId="60" applyFont="1" applyFill="1" applyAlignment="1">
      <alignment vertical="top"/>
      <protection/>
    </xf>
    <xf numFmtId="0" fontId="38" fillId="0" borderId="0" xfId="60" applyFont="1" applyFill="1">
      <alignment/>
      <protection/>
    </xf>
    <xf numFmtId="0" fontId="39" fillId="0" borderId="0" xfId="60" applyFont="1" applyFill="1" applyAlignment="1">
      <alignment vertical="center" wrapText="1"/>
      <protection/>
    </xf>
    <xf numFmtId="3" fontId="38" fillId="0" borderId="0" xfId="60" applyNumberFormat="1" applyFont="1" applyFill="1">
      <alignment/>
      <protection/>
    </xf>
    <xf numFmtId="3" fontId="39" fillId="0" borderId="0" xfId="60" applyNumberFormat="1" applyFont="1" applyFill="1" applyBorder="1" applyAlignment="1">
      <alignment horizontal="center" vertical="center" wrapText="1"/>
      <protection/>
    </xf>
    <xf numFmtId="0" fontId="39" fillId="0" borderId="0" xfId="60" applyFont="1" applyAlignment="1">
      <alignment vertical="center" wrapText="1"/>
      <protection/>
    </xf>
    <xf numFmtId="0" fontId="51" fillId="0" borderId="0" xfId="60" applyFont="1" applyFill="1">
      <alignment/>
      <protection/>
    </xf>
    <xf numFmtId="4" fontId="52" fillId="0" borderId="0" xfId="60" applyNumberFormat="1" applyFont="1" applyFill="1">
      <alignment/>
      <protection/>
    </xf>
    <xf numFmtId="3" fontId="51" fillId="0" borderId="0" xfId="60" applyNumberFormat="1" applyFont="1" applyFill="1">
      <alignment/>
      <protection/>
    </xf>
    <xf numFmtId="3" fontId="52" fillId="0" borderId="0" xfId="60" applyNumberFormat="1" applyFont="1" applyFill="1" applyAlignment="1">
      <alignment horizontal="right"/>
      <protection/>
    </xf>
    <xf numFmtId="0" fontId="53" fillId="0" borderId="0" xfId="60" applyFont="1" applyFill="1">
      <alignment/>
      <protection/>
    </xf>
    <xf numFmtId="0" fontId="51" fillId="0" borderId="0" xfId="60" applyFont="1" applyFill="1" applyAlignment="1">
      <alignment horizontal="center"/>
      <protection/>
    </xf>
    <xf numFmtId="0" fontId="51" fillId="0" borderId="0" xfId="60" applyFont="1">
      <alignment/>
      <protection/>
    </xf>
    <xf numFmtId="3" fontId="54" fillId="0" borderId="0" xfId="60" applyNumberFormat="1" applyFont="1" applyFill="1">
      <alignment/>
      <protection/>
    </xf>
    <xf numFmtId="0" fontId="51" fillId="0" borderId="0" xfId="60" applyFont="1" applyAlignment="1">
      <alignment horizontal="center"/>
      <protection/>
    </xf>
    <xf numFmtId="0" fontId="12" fillId="0" borderId="0" xfId="52" applyFont="1">
      <alignment/>
      <protection/>
    </xf>
    <xf numFmtId="0" fontId="39" fillId="0" borderId="0" xfId="52" applyFont="1" applyBorder="1" applyAlignment="1">
      <alignment horizontal="center" vertical="top" wrapText="1"/>
      <protection/>
    </xf>
    <xf numFmtId="0" fontId="39" fillId="0" borderId="0" xfId="52" applyFont="1" applyFill="1" applyBorder="1" applyAlignment="1">
      <alignment horizontal="center" vertical="top" wrapText="1"/>
      <protection/>
    </xf>
    <xf numFmtId="0" fontId="55" fillId="0" borderId="67" xfId="52" applyFont="1" applyBorder="1" applyAlignment="1">
      <alignment horizontal="center" vertical="center" wrapText="1"/>
      <protection/>
    </xf>
    <xf numFmtId="0" fontId="55" fillId="0" borderId="68" xfId="52" applyFont="1" applyBorder="1" applyAlignment="1">
      <alignment horizontal="center" vertical="center" wrapText="1"/>
      <protection/>
    </xf>
    <xf numFmtId="3" fontId="55" fillId="0" borderId="68" xfId="52" applyNumberFormat="1" applyFont="1" applyBorder="1" applyAlignment="1">
      <alignment horizontal="center" vertical="center"/>
      <protection/>
    </xf>
    <xf numFmtId="3" fontId="55" fillId="0" borderId="69" xfId="52" applyNumberFormat="1" applyFont="1" applyFill="1" applyBorder="1" applyAlignment="1">
      <alignment horizontal="center" vertical="center"/>
      <protection/>
    </xf>
    <xf numFmtId="0" fontId="55" fillId="0" borderId="0" xfId="52" applyFont="1" applyAlignment="1">
      <alignment vertical="center"/>
      <protection/>
    </xf>
    <xf numFmtId="0" fontId="56" fillId="0" borderId="70" xfId="52" applyFont="1" applyBorder="1" applyAlignment="1">
      <alignment horizontal="center" vertical="center" wrapText="1"/>
      <protection/>
    </xf>
    <xf numFmtId="0" fontId="48" fillId="0" borderId="71" xfId="52" applyFont="1" applyBorder="1" applyAlignment="1">
      <alignment horizontal="center" vertical="center" wrapText="1"/>
      <protection/>
    </xf>
    <xf numFmtId="0" fontId="10" fillId="0" borderId="71" xfId="52" applyFont="1" applyBorder="1" applyAlignment="1">
      <alignment horizontal="center" vertical="center" wrapText="1"/>
      <protection/>
    </xf>
    <xf numFmtId="3" fontId="13" fillId="0" borderId="71" xfId="52" applyNumberFormat="1" applyFont="1" applyBorder="1" applyAlignment="1">
      <alignment horizontal="center" vertical="center"/>
      <protection/>
    </xf>
    <xf numFmtId="0" fontId="12" fillId="0" borderId="0" xfId="52" applyFont="1" applyAlignment="1">
      <alignment vertical="center"/>
      <protection/>
    </xf>
    <xf numFmtId="0" fontId="48" fillId="0" borderId="72" xfId="52" applyFont="1" applyFill="1" applyBorder="1" applyAlignment="1">
      <alignment horizontal="center" vertical="center"/>
      <protection/>
    </xf>
    <xf numFmtId="0" fontId="48" fillId="0" borderId="63" xfId="52" applyFont="1" applyFill="1" applyBorder="1" applyAlignment="1">
      <alignment vertical="center"/>
      <protection/>
    </xf>
    <xf numFmtId="0" fontId="12" fillId="0" borderId="68" xfId="52" applyFont="1" applyFill="1" applyBorder="1" applyAlignment="1">
      <alignment horizontal="center" vertical="center"/>
      <protection/>
    </xf>
    <xf numFmtId="49" fontId="56" fillId="0" borderId="68" xfId="52" applyNumberFormat="1" applyFont="1" applyFill="1" applyBorder="1" applyAlignment="1">
      <alignment vertical="center" wrapText="1"/>
      <protection/>
    </xf>
    <xf numFmtId="0" fontId="38" fillId="0" borderId="73" xfId="52" applyFont="1" applyFill="1" applyBorder="1" applyAlignment="1">
      <alignment vertical="center"/>
      <protection/>
    </xf>
    <xf numFmtId="3" fontId="13" fillId="0" borderId="63" xfId="52" applyNumberFormat="1" applyFont="1" applyFill="1" applyBorder="1" applyAlignment="1">
      <alignment horizontal="center" vertical="center"/>
      <protection/>
    </xf>
    <xf numFmtId="3" fontId="13" fillId="0" borderId="74" xfId="52" applyNumberFormat="1" applyFont="1" applyFill="1" applyBorder="1" applyAlignment="1">
      <alignment horizontal="center" vertical="center"/>
      <protection/>
    </xf>
    <xf numFmtId="0" fontId="12" fillId="0" borderId="72" xfId="52" applyFont="1" applyFill="1" applyBorder="1" applyAlignment="1">
      <alignment horizontal="center" vertical="center"/>
      <protection/>
    </xf>
    <xf numFmtId="0" fontId="48" fillId="0" borderId="75" xfId="52" applyFont="1" applyFill="1" applyBorder="1" applyAlignment="1">
      <alignment vertical="center" wrapText="1"/>
      <protection/>
    </xf>
    <xf numFmtId="0" fontId="56" fillId="0" borderId="68" xfId="52" applyFont="1" applyFill="1" applyBorder="1" applyAlignment="1">
      <alignment vertical="center"/>
      <protection/>
    </xf>
    <xf numFmtId="0" fontId="38" fillId="0" borderId="76" xfId="52" applyFont="1" applyFill="1" applyBorder="1" applyAlignment="1">
      <alignment vertical="center"/>
      <protection/>
    </xf>
    <xf numFmtId="3" fontId="57" fillId="0" borderId="75" xfId="52" applyNumberFormat="1" applyFont="1" applyFill="1" applyBorder="1" applyAlignment="1">
      <alignment horizontal="center" vertical="center"/>
      <protection/>
    </xf>
    <xf numFmtId="3" fontId="57" fillId="0" borderId="77" xfId="52" applyNumberFormat="1" applyFont="1" applyFill="1" applyBorder="1" applyAlignment="1">
      <alignment horizontal="center" vertical="center"/>
      <protection/>
    </xf>
    <xf numFmtId="0" fontId="12" fillId="0" borderId="78" xfId="52" applyFont="1" applyFill="1" applyBorder="1" applyAlignment="1">
      <alignment horizontal="center" vertical="center"/>
      <protection/>
    </xf>
    <xf numFmtId="0" fontId="12" fillId="0" borderId="79" xfId="52" applyFont="1" applyFill="1" applyBorder="1" applyAlignment="1">
      <alignment horizontal="center" vertical="center"/>
      <protection/>
    </xf>
    <xf numFmtId="0" fontId="56" fillId="0" borderId="79" xfId="52" applyFont="1" applyFill="1" applyBorder="1" applyAlignment="1">
      <alignment vertical="center"/>
      <protection/>
    </xf>
    <xf numFmtId="0" fontId="38" fillId="0" borderId="80" xfId="52" applyFont="1" applyFill="1" applyBorder="1" applyAlignment="1">
      <alignment vertical="center"/>
      <protection/>
    </xf>
    <xf numFmtId="3" fontId="57" fillId="0" borderId="81" xfId="52" applyNumberFormat="1" applyFont="1" applyFill="1" applyBorder="1" applyAlignment="1">
      <alignment horizontal="center" vertical="center"/>
      <protection/>
    </xf>
    <xf numFmtId="3" fontId="57" fillId="0" borderId="82" xfId="52" applyNumberFormat="1" applyFont="1" applyFill="1" applyBorder="1" applyAlignment="1">
      <alignment horizontal="center" vertical="center"/>
      <protection/>
    </xf>
    <xf numFmtId="0" fontId="12" fillId="0" borderId="83" xfId="52" applyFont="1" applyBorder="1" applyAlignment="1">
      <alignment vertical="center"/>
      <protection/>
    </xf>
    <xf numFmtId="0" fontId="48" fillId="0" borderId="84" xfId="52" applyFont="1" applyFill="1" applyBorder="1" applyAlignment="1">
      <alignment horizontal="center" vertical="center"/>
      <protection/>
    </xf>
    <xf numFmtId="0" fontId="59" fillId="0" borderId="68" xfId="52" applyFont="1" applyFill="1" applyBorder="1" applyAlignment="1">
      <alignment horizontal="center" vertical="center"/>
      <protection/>
    </xf>
    <xf numFmtId="49" fontId="56" fillId="0" borderId="68" xfId="52" applyNumberFormat="1" applyFont="1" applyFill="1" applyBorder="1" applyAlignment="1">
      <alignment vertical="center"/>
      <protection/>
    </xf>
    <xf numFmtId="0" fontId="38" fillId="0" borderId="73" xfId="52" applyFont="1" applyFill="1" applyBorder="1" applyAlignment="1">
      <alignment vertical="center"/>
      <protection/>
    </xf>
    <xf numFmtId="3" fontId="13" fillId="0" borderId="63" xfId="52" applyNumberFormat="1" applyFont="1" applyFill="1" applyBorder="1" applyAlignment="1">
      <alignment horizontal="center" vertical="center"/>
      <protection/>
    </xf>
    <xf numFmtId="3" fontId="13" fillId="0" borderId="85" xfId="52" applyNumberFormat="1" applyFont="1" applyFill="1" applyBorder="1" applyAlignment="1">
      <alignment horizontal="center" vertical="center"/>
      <protection/>
    </xf>
    <xf numFmtId="3" fontId="13" fillId="0" borderId="86" xfId="52" applyNumberFormat="1" applyFont="1" applyFill="1" applyBorder="1" applyAlignment="1">
      <alignment horizontal="center" vertical="center"/>
      <protection/>
    </xf>
    <xf numFmtId="3" fontId="59" fillId="0" borderId="0" xfId="52" applyNumberFormat="1" applyFont="1" applyBorder="1" applyAlignment="1">
      <alignment vertical="center"/>
      <protection/>
    </xf>
    <xf numFmtId="3" fontId="59" fillId="0" borderId="0" xfId="52" applyNumberFormat="1" applyFont="1" applyFill="1" applyBorder="1" applyAlignment="1">
      <alignment vertical="center"/>
      <protection/>
    </xf>
    <xf numFmtId="0" fontId="59" fillId="0" borderId="0" xfId="52" applyFont="1" applyBorder="1" applyAlignment="1">
      <alignment vertical="center"/>
      <protection/>
    </xf>
    <xf numFmtId="0" fontId="59" fillId="0" borderId="72" xfId="52" applyFont="1" applyFill="1" applyBorder="1" applyAlignment="1">
      <alignment horizontal="center" vertical="center"/>
      <protection/>
    </xf>
    <xf numFmtId="0" fontId="38" fillId="0" borderId="76" xfId="52" applyFont="1" applyFill="1" applyBorder="1" applyAlignment="1">
      <alignment vertical="center"/>
      <protection/>
    </xf>
    <xf numFmtId="3" fontId="57" fillId="0" borderId="75" xfId="52" applyNumberFormat="1" applyFont="1" applyFill="1" applyBorder="1" applyAlignment="1">
      <alignment horizontal="center" vertical="center"/>
      <protection/>
    </xf>
    <xf numFmtId="3" fontId="57" fillId="0" borderId="77" xfId="52" applyNumberFormat="1" applyFont="1" applyFill="1" applyBorder="1" applyAlignment="1">
      <alignment horizontal="center" vertical="center"/>
      <protection/>
    </xf>
    <xf numFmtId="0" fontId="59" fillId="0" borderId="0" xfId="52" applyFont="1" applyFill="1" applyBorder="1" applyAlignment="1">
      <alignment vertical="center"/>
      <protection/>
    </xf>
    <xf numFmtId="0" fontId="59" fillId="0" borderId="78" xfId="52" applyFont="1" applyFill="1" applyBorder="1" applyAlignment="1">
      <alignment horizontal="center" vertical="center"/>
      <protection/>
    </xf>
    <xf numFmtId="0" fontId="59" fillId="0" borderId="79" xfId="52" applyFont="1" applyFill="1" applyBorder="1" applyAlignment="1">
      <alignment horizontal="center" vertical="center"/>
      <protection/>
    </xf>
    <xf numFmtId="49" fontId="56" fillId="0" borderId="79" xfId="52" applyNumberFormat="1" applyFont="1" applyFill="1" applyBorder="1" applyAlignment="1">
      <alignment vertical="center"/>
      <protection/>
    </xf>
    <xf numFmtId="0" fontId="38" fillId="0" borderId="80" xfId="52" applyFont="1" applyFill="1" applyBorder="1" applyAlignment="1">
      <alignment vertical="center"/>
      <protection/>
    </xf>
    <xf numFmtId="3" fontId="57" fillId="0" borderId="81" xfId="52" applyNumberFormat="1" applyFont="1" applyFill="1" applyBorder="1" applyAlignment="1">
      <alignment horizontal="center" vertical="center"/>
      <protection/>
    </xf>
    <xf numFmtId="3" fontId="57" fillId="0" borderId="82" xfId="52" applyNumberFormat="1" applyFont="1" applyFill="1" applyBorder="1" applyAlignment="1">
      <alignment horizontal="center" vertical="center"/>
      <protection/>
    </xf>
    <xf numFmtId="49" fontId="56" fillId="0" borderId="68" xfId="52" applyNumberFormat="1" applyFont="1" applyFill="1" applyBorder="1" applyAlignment="1">
      <alignment vertical="center"/>
      <protection/>
    </xf>
    <xf numFmtId="0" fontId="12" fillId="0" borderId="0" xfId="52" applyFont="1" applyBorder="1" applyAlignment="1">
      <alignment vertical="center"/>
      <protection/>
    </xf>
    <xf numFmtId="0" fontId="12" fillId="0" borderId="0" xfId="52" applyFont="1" applyFill="1" applyBorder="1" applyAlignment="1">
      <alignment vertical="center"/>
      <protection/>
    </xf>
    <xf numFmtId="49" fontId="56" fillId="0" borderId="79" xfId="52" applyNumberFormat="1" applyFont="1" applyFill="1" applyBorder="1" applyAlignment="1">
      <alignment vertical="center"/>
      <protection/>
    </xf>
    <xf numFmtId="0" fontId="12" fillId="0" borderId="70" xfId="52" applyFont="1" applyBorder="1" applyAlignment="1">
      <alignment horizontal="center" vertical="center"/>
      <protection/>
    </xf>
    <xf numFmtId="0" fontId="12" fillId="0" borderId="71" xfId="52" applyFont="1" applyBorder="1" applyAlignment="1">
      <alignment vertical="center"/>
      <protection/>
    </xf>
    <xf numFmtId="0" fontId="39" fillId="0" borderId="71" xfId="52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0" fontId="48" fillId="0" borderId="0" xfId="52" applyFont="1" applyBorder="1" applyAlignment="1">
      <alignment horizontal="center" vertical="center"/>
      <protection/>
    </xf>
    <xf numFmtId="3" fontId="48" fillId="0" borderId="0" xfId="52" applyNumberFormat="1" applyFont="1" applyBorder="1" applyAlignment="1">
      <alignment horizontal="center" vertical="center"/>
      <protection/>
    </xf>
    <xf numFmtId="3" fontId="48" fillId="0" borderId="0" xfId="52" applyNumberFormat="1" applyFont="1" applyFill="1" applyBorder="1" applyAlignment="1">
      <alignment horizontal="center" vertical="center"/>
      <protection/>
    </xf>
    <xf numFmtId="0" fontId="60" fillId="0" borderId="0" xfId="52" applyFont="1" applyAlignment="1">
      <alignment horizontal="center"/>
      <protection/>
    </xf>
    <xf numFmtId="0" fontId="60" fillId="0" borderId="0" xfId="52" applyFont="1" applyBorder="1">
      <alignment/>
      <protection/>
    </xf>
    <xf numFmtId="3" fontId="60" fillId="0" borderId="0" xfId="52" applyNumberFormat="1" applyFont="1" applyBorder="1">
      <alignment/>
      <protection/>
    </xf>
    <xf numFmtId="0" fontId="60" fillId="0" borderId="0" xfId="52" applyFont="1" applyFill="1" applyBorder="1">
      <alignment/>
      <protection/>
    </xf>
    <xf numFmtId="0" fontId="60" fillId="0" borderId="0" xfId="52" applyFont="1">
      <alignment/>
      <protection/>
    </xf>
    <xf numFmtId="0" fontId="60" fillId="0" borderId="75" xfId="52" applyFont="1" applyBorder="1">
      <alignment/>
      <protection/>
    </xf>
    <xf numFmtId="0" fontId="60" fillId="0" borderId="87" xfId="52" applyFont="1" applyBorder="1">
      <alignment/>
      <protection/>
    </xf>
    <xf numFmtId="0" fontId="60" fillId="0" borderId="88" xfId="52" applyFont="1" applyBorder="1">
      <alignment/>
      <protection/>
    </xf>
    <xf numFmtId="0" fontId="60" fillId="0" borderId="88" xfId="52" applyFont="1" applyFill="1" applyBorder="1">
      <alignment/>
      <protection/>
    </xf>
    <xf numFmtId="0" fontId="9" fillId="0" borderId="0" xfId="54" applyAlignment="1">
      <alignment vertical="center"/>
      <protection/>
    </xf>
    <xf numFmtId="0" fontId="61" fillId="0" borderId="0" xfId="54" applyFont="1" applyAlignment="1">
      <alignment horizontal="right" vertical="center"/>
      <protection/>
    </xf>
    <xf numFmtId="0" fontId="42" fillId="0" borderId="10" xfId="54" applyFont="1" applyFill="1" applyBorder="1" applyAlignment="1">
      <alignment horizontal="center" vertical="center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0" fontId="9" fillId="0" borderId="0" xfId="54" applyFill="1" applyAlignment="1">
      <alignment vertical="center"/>
      <protection/>
    </xf>
    <xf numFmtId="0" fontId="62" fillId="0" borderId="10" xfId="54" applyFont="1" applyBorder="1" applyAlignment="1">
      <alignment horizontal="center" vertical="center"/>
      <protection/>
    </xf>
    <xf numFmtId="0" fontId="63" fillId="0" borderId="89" xfId="54" applyFont="1" applyBorder="1" applyAlignment="1">
      <alignment vertical="center"/>
      <protection/>
    </xf>
    <xf numFmtId="0" fontId="63" fillId="0" borderId="90" xfId="54" applyFont="1" applyBorder="1" applyAlignment="1">
      <alignment vertical="center"/>
      <protection/>
    </xf>
    <xf numFmtId="3" fontId="63" fillId="0" borderId="91" xfId="54" applyNumberFormat="1" applyFont="1" applyBorder="1" applyAlignment="1">
      <alignment vertical="center"/>
      <protection/>
    </xf>
    <xf numFmtId="0" fontId="63" fillId="0" borderId="92" xfId="54" applyFont="1" applyBorder="1" applyAlignment="1">
      <alignment vertical="center"/>
      <protection/>
    </xf>
    <xf numFmtId="0" fontId="63" fillId="0" borderId="16" xfId="54" applyFont="1" applyBorder="1" applyAlignment="1">
      <alignment vertical="center"/>
      <protection/>
    </xf>
    <xf numFmtId="3" fontId="63" fillId="0" borderId="13" xfId="54" applyNumberFormat="1" applyFont="1" applyBorder="1" applyAlignment="1">
      <alignment vertical="center"/>
      <protection/>
    </xf>
    <xf numFmtId="0" fontId="35" fillId="0" borderId="93" xfId="54" applyFont="1" applyBorder="1" applyAlignment="1">
      <alignment horizontal="center" vertical="center"/>
      <protection/>
    </xf>
    <xf numFmtId="49" fontId="9" fillId="0" borderId="93" xfId="54" applyNumberFormat="1" applyFont="1" applyBorder="1" applyAlignment="1">
      <alignment horizontal="center" vertical="center"/>
      <protection/>
    </xf>
    <xf numFmtId="0" fontId="9" fillId="0" borderId="93" xfId="54" applyFont="1" applyBorder="1" applyAlignment="1">
      <alignment horizontal="center" vertical="center" wrapText="1"/>
      <protection/>
    </xf>
    <xf numFmtId="0" fontId="9" fillId="0" borderId="93" xfId="54" applyFont="1" applyBorder="1" applyAlignment="1">
      <alignment vertical="center"/>
      <protection/>
    </xf>
    <xf numFmtId="3" fontId="9" fillId="0" borderId="93" xfId="54" applyNumberFormat="1" applyFont="1" applyBorder="1" applyAlignment="1">
      <alignment vertical="center"/>
      <protection/>
    </xf>
    <xf numFmtId="0" fontId="9" fillId="0" borderId="0" xfId="54">
      <alignment/>
      <protection/>
    </xf>
    <xf numFmtId="0" fontId="9" fillId="0" borderId="93" xfId="54" applyFont="1" applyBorder="1" applyAlignment="1">
      <alignment horizontal="center" vertical="center"/>
      <protection/>
    </xf>
    <xf numFmtId="0" fontId="12" fillId="0" borderId="93" xfId="54" applyFont="1" applyBorder="1" applyAlignment="1">
      <alignment horizontal="center" vertical="center" wrapText="1"/>
      <protection/>
    </xf>
    <xf numFmtId="0" fontId="9" fillId="0" borderId="93" xfId="54" applyFont="1" applyBorder="1" applyAlignment="1">
      <alignment vertical="center" wrapText="1"/>
      <protection/>
    </xf>
    <xf numFmtId="0" fontId="35" fillId="0" borderId="10" xfId="54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10" xfId="54" applyFont="1" applyBorder="1" applyAlignment="1">
      <alignment vertical="center" wrapText="1"/>
      <protection/>
    </xf>
    <xf numFmtId="3" fontId="9" fillId="0" borderId="10" xfId="54" applyNumberFormat="1" applyFont="1" applyBorder="1" applyAlignment="1">
      <alignment vertical="center"/>
      <protection/>
    </xf>
    <xf numFmtId="0" fontId="63" fillId="0" borderId="40" xfId="54" applyFont="1" applyBorder="1" applyAlignment="1">
      <alignment vertical="center"/>
      <protection/>
    </xf>
    <xf numFmtId="0" fontId="63" fillId="0" borderId="94" xfId="54" applyFont="1" applyBorder="1" applyAlignment="1">
      <alignment vertical="center"/>
      <protection/>
    </xf>
    <xf numFmtId="4" fontId="63" fillId="0" borderId="39" xfId="54" applyNumberFormat="1" applyFont="1" applyBorder="1" applyAlignment="1">
      <alignment vertical="center"/>
      <protection/>
    </xf>
    <xf numFmtId="0" fontId="9" fillId="0" borderId="10" xfId="54" applyFont="1" applyBorder="1" applyAlignment="1">
      <alignment horizontal="center" vertical="center" wrapText="1"/>
      <protection/>
    </xf>
    <xf numFmtId="3" fontId="9" fillId="0" borderId="0" xfId="54" applyNumberFormat="1" applyAlignment="1">
      <alignment vertical="center"/>
      <protection/>
    </xf>
    <xf numFmtId="4" fontId="63" fillId="0" borderId="13" xfId="54" applyNumberFormat="1" applyFont="1" applyBorder="1" applyAlignment="1">
      <alignment vertical="center"/>
      <protection/>
    </xf>
    <xf numFmtId="4" fontId="9" fillId="0" borderId="10" xfId="54" applyNumberFormat="1" applyFont="1" applyBorder="1" applyAlignment="1">
      <alignment vertical="center"/>
      <protection/>
    </xf>
    <xf numFmtId="0" fontId="9" fillId="0" borderId="10" xfId="54" applyFont="1" applyBorder="1" applyAlignment="1">
      <alignment vertical="center" wrapText="1"/>
      <protection/>
    </xf>
    <xf numFmtId="0" fontId="35" fillId="0" borderId="10" xfId="54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3" fontId="9" fillId="0" borderId="10" xfId="54" applyNumberFormat="1" applyFont="1" applyFill="1" applyBorder="1" applyAlignment="1">
      <alignment horizontal="right" vertical="center" wrapText="1"/>
      <protection/>
    </xf>
    <xf numFmtId="0" fontId="9" fillId="0" borderId="10" xfId="54" applyFill="1" applyBorder="1" applyAlignment="1">
      <alignment vertical="center" wrapText="1"/>
      <protection/>
    </xf>
    <xf numFmtId="49" fontId="9" fillId="0" borderId="10" xfId="54" applyNumberFormat="1" applyFill="1" applyBorder="1" applyAlignment="1">
      <alignment horizontal="center" vertical="center"/>
      <protection/>
    </xf>
    <xf numFmtId="0" fontId="9" fillId="0" borderId="10" xfId="54" applyBorder="1" applyAlignment="1">
      <alignment horizontal="center" vertical="center" wrapText="1"/>
      <protection/>
    </xf>
    <xf numFmtId="0" fontId="9" fillId="0" borderId="10" xfId="54" applyBorder="1" applyAlignment="1">
      <alignment vertical="center" wrapText="1"/>
      <protection/>
    </xf>
    <xf numFmtId="0" fontId="35" fillId="0" borderId="32" xfId="54" applyFont="1" applyBorder="1" applyAlignment="1">
      <alignment horizontal="center" vertical="center"/>
      <protection/>
    </xf>
    <xf numFmtId="0" fontId="9" fillId="0" borderId="32" xfId="54" applyFont="1" applyBorder="1" applyAlignment="1">
      <alignment horizontal="center" vertical="center"/>
      <protection/>
    </xf>
    <xf numFmtId="0" fontId="9" fillId="0" borderId="32" xfId="54" applyFont="1" applyBorder="1" applyAlignment="1">
      <alignment horizontal="center" vertical="center" wrapText="1"/>
      <protection/>
    </xf>
    <xf numFmtId="0" fontId="9" fillId="0" borderId="95" xfId="54" applyFont="1" applyBorder="1" applyAlignment="1">
      <alignment horizontal="center" vertical="center" wrapText="1"/>
      <protection/>
    </xf>
    <xf numFmtId="3" fontId="9" fillId="0" borderId="32" xfId="54" applyNumberFormat="1" applyFont="1" applyBorder="1" applyAlignment="1">
      <alignment vertical="center"/>
      <protection/>
    </xf>
    <xf numFmtId="4" fontId="9" fillId="0" borderId="0" xfId="54" applyNumberFormat="1" applyAlignment="1">
      <alignment vertical="center"/>
      <protection/>
    </xf>
    <xf numFmtId="0" fontId="35" fillId="0" borderId="75" xfId="57" applyFont="1" applyBorder="1" applyAlignment="1">
      <alignment horizontal="center" vertical="center"/>
      <protection/>
    </xf>
    <xf numFmtId="0" fontId="9" fillId="0" borderId="75" xfId="57" applyFont="1" applyBorder="1" applyAlignment="1">
      <alignment horizontal="center" vertical="center"/>
      <protection/>
    </xf>
    <xf numFmtId="0" fontId="9" fillId="0" borderId="75" xfId="57" applyFont="1" applyBorder="1" applyAlignment="1">
      <alignment horizontal="center" vertical="center" wrapText="1"/>
      <protection/>
    </xf>
    <xf numFmtId="3" fontId="9" fillId="0" borderId="75" xfId="57" applyNumberFormat="1" applyFont="1" applyBorder="1" applyAlignment="1">
      <alignment vertical="center"/>
      <protection/>
    </xf>
    <xf numFmtId="0" fontId="9" fillId="0" borderId="0" xfId="57" applyAlignment="1">
      <alignment vertical="center"/>
      <protection/>
    </xf>
    <xf numFmtId="0" fontId="35" fillId="0" borderId="96" xfId="57" applyFont="1" applyBorder="1" applyAlignment="1">
      <alignment horizontal="center" vertical="center"/>
      <protection/>
    </xf>
    <xf numFmtId="0" fontId="9" fillId="0" borderId="96" xfId="57" applyFont="1" applyBorder="1" applyAlignment="1">
      <alignment horizontal="center" vertical="center"/>
      <protection/>
    </xf>
    <xf numFmtId="0" fontId="9" fillId="0" borderId="96" xfId="57" applyFont="1" applyBorder="1" applyAlignment="1">
      <alignment horizontal="center" vertical="center" wrapText="1"/>
      <protection/>
    </xf>
    <xf numFmtId="0" fontId="9" fillId="0" borderId="68" xfId="57" applyFont="1" applyBorder="1" applyAlignment="1">
      <alignment horizontal="center" vertical="center" wrapText="1"/>
      <protection/>
    </xf>
    <xf numFmtId="4" fontId="9" fillId="0" borderId="96" xfId="57" applyNumberFormat="1" applyFont="1" applyBorder="1" applyAlignment="1">
      <alignment vertical="center"/>
      <protection/>
    </xf>
    <xf numFmtId="4" fontId="42" fillId="0" borderId="41" xfId="54" applyNumberFormat="1" applyFont="1" applyBorder="1" applyAlignment="1">
      <alignment horizontal="center" vertical="center"/>
      <protection/>
    </xf>
    <xf numFmtId="0" fontId="12" fillId="0" borderId="0" xfId="54" applyFont="1">
      <alignment/>
      <protection/>
    </xf>
    <xf numFmtId="0" fontId="12" fillId="0" borderId="0" xfId="53">
      <alignment/>
      <protection/>
    </xf>
    <xf numFmtId="0" fontId="66" fillId="0" borderId="0" xfId="53" applyFont="1" applyBorder="1" applyAlignment="1">
      <alignment vertical="top"/>
      <protection/>
    </xf>
    <xf numFmtId="0" fontId="66" fillId="0" borderId="97" xfId="53" applyFont="1" applyBorder="1" applyAlignment="1">
      <alignment vertical="top"/>
      <protection/>
    </xf>
    <xf numFmtId="0" fontId="41" fillId="0" borderId="98" xfId="53" applyFont="1" applyBorder="1" applyAlignment="1">
      <alignment horizontal="center" vertical="center" wrapText="1"/>
      <protection/>
    </xf>
    <xf numFmtId="0" fontId="41" fillId="0" borderId="99" xfId="53" applyFont="1" applyBorder="1" applyAlignment="1">
      <alignment horizontal="center" vertical="center" wrapText="1"/>
      <protection/>
    </xf>
    <xf numFmtId="49" fontId="12" fillId="0" borderId="99" xfId="53" applyNumberFormat="1" applyFont="1" applyBorder="1" applyAlignment="1">
      <alignment horizontal="center" vertical="center" wrapText="1"/>
      <protection/>
    </xf>
    <xf numFmtId="0" fontId="38" fillId="0" borderId="100" xfId="53" applyFont="1" applyBorder="1" applyAlignment="1">
      <alignment horizontal="center" vertical="center" wrapText="1"/>
      <protection/>
    </xf>
    <xf numFmtId="0" fontId="12" fillId="0" borderId="101" xfId="53" applyBorder="1" applyAlignment="1">
      <alignment horizontal="center" vertical="center" wrapText="1"/>
      <protection/>
    </xf>
    <xf numFmtId="0" fontId="12" fillId="0" borderId="10" xfId="53" applyBorder="1">
      <alignment/>
      <protection/>
    </xf>
    <xf numFmtId="0" fontId="12" fillId="0" borderId="10" xfId="53" applyFont="1" applyBorder="1">
      <alignment/>
      <protection/>
    </xf>
    <xf numFmtId="0" fontId="12" fillId="0" borderId="102" xfId="53" applyBorder="1" applyAlignment="1">
      <alignment horizontal="center" vertical="center"/>
      <protection/>
    </xf>
    <xf numFmtId="0" fontId="12" fillId="0" borderId="103" xfId="53" applyBorder="1" applyAlignment="1">
      <alignment horizontal="center" vertical="center"/>
      <protection/>
    </xf>
    <xf numFmtId="3" fontId="12" fillId="0" borderId="103" xfId="53" applyNumberFormat="1" applyBorder="1" applyAlignment="1">
      <alignment horizontal="center" vertical="center"/>
      <protection/>
    </xf>
    <xf numFmtId="0" fontId="56" fillId="0" borderId="104" xfId="53" applyFont="1" applyBorder="1" applyAlignment="1">
      <alignment vertical="center" wrapText="1"/>
      <protection/>
    </xf>
    <xf numFmtId="3" fontId="12" fillId="0" borderId="105" xfId="53" applyNumberFormat="1" applyFont="1" applyBorder="1" applyAlignment="1">
      <alignment horizontal="center" vertical="center" wrapText="1"/>
      <protection/>
    </xf>
    <xf numFmtId="3" fontId="48" fillId="0" borderId="106" xfId="53" applyNumberFormat="1" applyFont="1" applyBorder="1" applyAlignment="1">
      <alignment horizontal="center" vertical="center" wrapText="1"/>
      <protection/>
    </xf>
    <xf numFmtId="3" fontId="12" fillId="0" borderId="107" xfId="53" applyNumberFormat="1" applyBorder="1" applyAlignment="1">
      <alignment horizontal="center" vertical="center" wrapText="1"/>
      <protection/>
    </xf>
    <xf numFmtId="0" fontId="12" fillId="0" borderId="104" xfId="53" applyBorder="1" applyAlignment="1">
      <alignment horizontal="center" vertical="center"/>
      <protection/>
    </xf>
    <xf numFmtId="3" fontId="12" fillId="0" borderId="104" xfId="53" applyNumberFormat="1" applyBorder="1" applyAlignment="1">
      <alignment horizontal="center" vertical="center"/>
      <protection/>
    </xf>
    <xf numFmtId="0" fontId="56" fillId="0" borderId="108" xfId="53" applyFont="1" applyBorder="1" applyAlignment="1">
      <alignment vertical="center" wrapText="1"/>
      <protection/>
    </xf>
    <xf numFmtId="3" fontId="12" fillId="0" borderId="105" xfId="53" applyNumberFormat="1" applyBorder="1" applyAlignment="1">
      <alignment horizontal="center" vertical="center"/>
      <protection/>
    </xf>
    <xf numFmtId="0" fontId="56" fillId="0" borderId="109" xfId="53" applyFont="1" applyBorder="1" applyAlignment="1">
      <alignment vertical="center" wrapText="1"/>
      <protection/>
    </xf>
    <xf numFmtId="3" fontId="12" fillId="0" borderId="109" xfId="53" applyNumberFormat="1" applyBorder="1" applyAlignment="1">
      <alignment horizontal="center" vertical="center"/>
      <protection/>
    </xf>
    <xf numFmtId="3" fontId="48" fillId="0" borderId="110" xfId="53" applyNumberFormat="1" applyFont="1" applyBorder="1" applyAlignment="1">
      <alignment horizontal="center" vertical="center" wrapText="1"/>
      <protection/>
    </xf>
    <xf numFmtId="0" fontId="56" fillId="0" borderId="105" xfId="53" applyFont="1" applyBorder="1" applyAlignment="1">
      <alignment vertical="center" wrapText="1"/>
      <protection/>
    </xf>
    <xf numFmtId="0" fontId="48" fillId="0" borderId="10" xfId="53" applyFont="1" applyBorder="1">
      <alignment/>
      <protection/>
    </xf>
    <xf numFmtId="0" fontId="56" fillId="0" borderId="111" xfId="53" applyFont="1" applyBorder="1" applyAlignment="1">
      <alignment vertical="center" wrapText="1"/>
      <protection/>
    </xf>
    <xf numFmtId="3" fontId="12" fillId="0" borderId="111" xfId="53" applyNumberFormat="1" applyBorder="1" applyAlignment="1">
      <alignment horizontal="center" vertical="center"/>
      <protection/>
    </xf>
    <xf numFmtId="3" fontId="48" fillId="0" borderId="112" xfId="53" applyNumberFormat="1" applyFont="1" applyBorder="1" applyAlignment="1">
      <alignment horizontal="center" vertical="center" wrapText="1"/>
      <protection/>
    </xf>
    <xf numFmtId="3" fontId="48" fillId="0" borderId="113" xfId="53" applyNumberFormat="1" applyFont="1" applyBorder="1" applyAlignment="1">
      <alignment horizontal="center" vertical="center" wrapText="1"/>
      <protection/>
    </xf>
    <xf numFmtId="0" fontId="56" fillId="0" borderId="114" xfId="53" applyFont="1" applyBorder="1" applyAlignment="1">
      <alignment vertical="center" wrapText="1"/>
      <protection/>
    </xf>
    <xf numFmtId="3" fontId="12" fillId="0" borderId="115" xfId="53" applyNumberFormat="1" applyBorder="1" applyAlignment="1">
      <alignment horizontal="center" vertical="center"/>
      <protection/>
    </xf>
    <xf numFmtId="3" fontId="48" fillId="0" borderId="116" xfId="53" applyNumberFormat="1" applyFont="1" applyBorder="1" applyAlignment="1">
      <alignment horizontal="center" vertical="center" wrapText="1"/>
      <protection/>
    </xf>
    <xf numFmtId="3" fontId="12" fillId="0" borderId="117" xfId="53" applyNumberFormat="1" applyBorder="1" applyAlignment="1">
      <alignment horizontal="center" vertical="center"/>
      <protection/>
    </xf>
    <xf numFmtId="0" fontId="56" fillId="0" borderId="118" xfId="53" applyFont="1" applyBorder="1" applyAlignment="1">
      <alignment vertical="center" wrapText="1"/>
      <protection/>
    </xf>
    <xf numFmtId="3" fontId="12" fillId="0" borderId="119" xfId="53" applyNumberFormat="1" applyBorder="1" applyAlignment="1">
      <alignment horizontal="center" vertical="center"/>
      <protection/>
    </xf>
    <xf numFmtId="0" fontId="56" fillId="0" borderId="120" xfId="53" applyFont="1" applyBorder="1" applyAlignment="1">
      <alignment vertical="center" wrapText="1"/>
      <protection/>
    </xf>
    <xf numFmtId="3" fontId="48" fillId="0" borderId="72" xfId="53" applyNumberFormat="1" applyFont="1" applyBorder="1" applyAlignment="1">
      <alignment horizontal="center" vertical="center" wrapText="1"/>
      <protection/>
    </xf>
    <xf numFmtId="0" fontId="56" fillId="0" borderId="121" xfId="53" applyFont="1" applyBorder="1" applyAlignment="1">
      <alignment vertical="center" wrapText="1"/>
      <protection/>
    </xf>
    <xf numFmtId="3" fontId="12" fillId="0" borderId="121" xfId="53" applyNumberFormat="1" applyBorder="1" applyAlignment="1">
      <alignment horizontal="center" vertical="center"/>
      <protection/>
    </xf>
    <xf numFmtId="0" fontId="12" fillId="0" borderId="122" xfId="53" applyBorder="1" applyAlignment="1">
      <alignment horizontal="center" vertical="center"/>
      <protection/>
    </xf>
    <xf numFmtId="0" fontId="12" fillId="0" borderId="123" xfId="53" applyFont="1" applyBorder="1" applyAlignment="1">
      <alignment horizontal="center" vertical="center"/>
      <protection/>
    </xf>
    <xf numFmtId="3" fontId="12" fillId="0" borderId="123" xfId="53" applyNumberFormat="1" applyBorder="1" applyAlignment="1">
      <alignment horizontal="center" vertical="center"/>
      <protection/>
    </xf>
    <xf numFmtId="0" fontId="56" fillId="0" borderId="123" xfId="53" applyFont="1" applyBorder="1" applyAlignment="1">
      <alignment vertical="center" wrapText="1"/>
      <protection/>
    </xf>
    <xf numFmtId="3" fontId="48" fillId="0" borderId="100" xfId="53" applyNumberFormat="1" applyFont="1" applyBorder="1" applyAlignment="1">
      <alignment horizontal="center" vertical="center" wrapText="1"/>
      <protection/>
    </xf>
    <xf numFmtId="3" fontId="12" fillId="0" borderId="107" xfId="53" applyNumberFormat="1" applyBorder="1" applyAlignment="1">
      <alignment vertical="center"/>
      <protection/>
    </xf>
    <xf numFmtId="3" fontId="12" fillId="0" borderId="120" xfId="53" applyNumberFormat="1" applyBorder="1" applyAlignment="1">
      <alignment horizontal="center" vertical="center"/>
      <protection/>
    </xf>
    <xf numFmtId="0" fontId="56" fillId="0" borderId="124" xfId="53" applyFont="1" applyBorder="1" applyAlignment="1">
      <alignment vertical="center" wrapText="1"/>
      <protection/>
    </xf>
    <xf numFmtId="0" fontId="56" fillId="0" borderId="119" xfId="53" applyFont="1" applyBorder="1" applyAlignment="1">
      <alignment vertical="center" wrapText="1"/>
      <protection/>
    </xf>
    <xf numFmtId="3" fontId="12" fillId="0" borderId="125" xfId="53" applyNumberFormat="1" applyBorder="1" applyAlignment="1">
      <alignment horizontal="center" vertical="center"/>
      <protection/>
    </xf>
    <xf numFmtId="0" fontId="44" fillId="0" borderId="0" xfId="53" applyFont="1" applyBorder="1" applyAlignment="1">
      <alignment vertical="top" wrapText="1"/>
      <protection/>
    </xf>
    <xf numFmtId="0" fontId="39" fillId="0" borderId="0" xfId="53" applyFont="1" applyBorder="1" applyAlignment="1">
      <alignment horizontal="center" vertical="center" wrapText="1"/>
      <protection/>
    </xf>
    <xf numFmtId="0" fontId="39" fillId="0" borderId="0" xfId="53" applyFont="1" applyAlignment="1">
      <alignment horizontal="center" vertical="center" wrapText="1"/>
      <protection/>
    </xf>
    <xf numFmtId="0" fontId="11" fillId="0" borderId="104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12" fillId="0" borderId="0" xfId="53" applyAlignment="1">
      <alignment horizontal="center" vertical="center"/>
      <protection/>
    </xf>
    <xf numFmtId="0" fontId="12" fillId="0" borderId="119" xfId="53" applyBorder="1" applyAlignment="1">
      <alignment horizontal="center" vertical="center"/>
      <protection/>
    </xf>
    <xf numFmtId="49" fontId="12" fillId="0" borderId="119" xfId="53" applyNumberFormat="1" applyFont="1" applyBorder="1" applyAlignment="1">
      <alignment horizontal="center" vertical="center"/>
      <protection/>
    </xf>
    <xf numFmtId="3" fontId="12" fillId="0" borderId="0" xfId="53" applyNumberFormat="1" applyBorder="1" applyAlignment="1">
      <alignment horizontal="center" vertical="center"/>
      <protection/>
    </xf>
    <xf numFmtId="0" fontId="12" fillId="0" borderId="111" xfId="53" applyBorder="1" applyAlignment="1">
      <alignment horizontal="center" vertical="center"/>
      <protection/>
    </xf>
    <xf numFmtId="49" fontId="12" fillId="0" borderId="111" xfId="53" applyNumberFormat="1" applyFont="1" applyBorder="1" applyAlignment="1">
      <alignment horizontal="center" vertical="center"/>
      <protection/>
    </xf>
    <xf numFmtId="49" fontId="12" fillId="0" borderId="111" xfId="53" applyNumberFormat="1" applyBorder="1" applyAlignment="1">
      <alignment horizontal="center" vertical="center"/>
      <protection/>
    </xf>
    <xf numFmtId="49" fontId="12" fillId="0" borderId="125" xfId="53" applyNumberFormat="1" applyBorder="1" applyAlignment="1">
      <alignment horizontal="center" vertical="center"/>
      <protection/>
    </xf>
    <xf numFmtId="0" fontId="12" fillId="0" borderId="125" xfId="53" applyBorder="1" applyAlignment="1">
      <alignment horizontal="center" vertical="center"/>
      <protection/>
    </xf>
    <xf numFmtId="0" fontId="48" fillId="0" borderId="123" xfId="53" applyFont="1" applyBorder="1" applyAlignment="1">
      <alignment horizontal="center" vertical="center"/>
      <protection/>
    </xf>
    <xf numFmtId="3" fontId="48" fillId="0" borderId="123" xfId="53" applyNumberFormat="1" applyFont="1" applyBorder="1" applyAlignment="1">
      <alignment horizontal="center" vertical="center"/>
      <protection/>
    </xf>
    <xf numFmtId="3" fontId="48" fillId="0" borderId="126" xfId="53" applyNumberFormat="1" applyFont="1" applyBorder="1" applyAlignment="1">
      <alignment horizontal="center" vertical="center"/>
      <protection/>
    </xf>
    <xf numFmtId="3" fontId="48" fillId="0" borderId="0" xfId="53" applyNumberFormat="1" applyFont="1" applyBorder="1" applyAlignment="1">
      <alignment horizontal="center" vertical="center"/>
      <protection/>
    </xf>
    <xf numFmtId="3" fontId="12" fillId="0" borderId="0" xfId="53" applyNumberFormat="1" applyAlignment="1">
      <alignment horizontal="center" vertical="center"/>
      <protection/>
    </xf>
    <xf numFmtId="0" fontId="44" fillId="0" borderId="127" xfId="60" applyFont="1" applyFill="1" applyBorder="1" applyAlignment="1">
      <alignment horizontal="center" vertical="center" wrapText="1"/>
      <protection/>
    </xf>
    <xf numFmtId="0" fontId="44" fillId="0" borderId="32" xfId="60" applyFont="1" applyFill="1" applyBorder="1" applyAlignment="1">
      <alignment horizontal="center" vertical="center" wrapText="1"/>
      <protection/>
    </xf>
    <xf numFmtId="0" fontId="45" fillId="0" borderId="32" xfId="60" applyFont="1" applyFill="1" applyBorder="1" applyAlignment="1">
      <alignment horizontal="center" vertical="center" wrapText="1"/>
      <protection/>
    </xf>
    <xf numFmtId="0" fontId="45" fillId="0" borderId="128" xfId="60" applyFont="1" applyFill="1" applyBorder="1" applyAlignment="1">
      <alignment horizontal="center" vertical="center" wrapText="1"/>
      <protection/>
    </xf>
    <xf numFmtId="0" fontId="12" fillId="0" borderId="53" xfId="61" applyFont="1" applyFill="1" applyBorder="1" applyAlignment="1">
      <alignment horizontal="center" vertical="center" wrapText="1"/>
      <protection/>
    </xf>
    <xf numFmtId="0" fontId="12" fillId="0" borderId="52" xfId="61" applyFont="1" applyFill="1" applyBorder="1" applyAlignment="1">
      <alignment horizontal="center" vertical="center" wrapText="1"/>
      <protection/>
    </xf>
    <xf numFmtId="0" fontId="12" fillId="0" borderId="42" xfId="61" applyFont="1" applyFill="1" applyBorder="1" applyAlignment="1">
      <alignment vertical="center" wrapText="1"/>
      <protection/>
    </xf>
    <xf numFmtId="3" fontId="38" fillId="0" borderId="42" xfId="61" applyNumberFormat="1" applyFont="1" applyFill="1" applyBorder="1" applyAlignment="1">
      <alignment vertical="center" wrapText="1"/>
      <protection/>
    </xf>
    <xf numFmtId="3" fontId="38" fillId="0" borderId="129" xfId="61" applyNumberFormat="1" applyFont="1" applyFill="1" applyBorder="1" applyAlignment="1">
      <alignment vertical="center" wrapText="1"/>
      <protection/>
    </xf>
    <xf numFmtId="4" fontId="15" fillId="24" borderId="12" xfId="0" applyNumberFormat="1" applyFont="1" applyBorder="1" applyAlignment="1">
      <alignment horizontal="right" vertical="center" wrapText="1" shrinkToFit="1"/>
    </xf>
    <xf numFmtId="4" fontId="15" fillId="24" borderId="130" xfId="0" applyNumberFormat="1" applyFont="1" applyBorder="1" applyAlignment="1">
      <alignment horizontal="right" vertical="center" wrapText="1" shrinkToFit="1"/>
    </xf>
    <xf numFmtId="0" fontId="39" fillId="0" borderId="131" xfId="60" applyFont="1" applyFill="1" applyBorder="1" applyAlignment="1">
      <alignment horizontal="center" vertical="center" wrapText="1"/>
      <protection/>
    </xf>
    <xf numFmtId="0" fontId="14" fillId="25" borderId="10" xfId="0" applyAlignment="1">
      <alignment horizontal="right" vertical="center" wrapText="1" shrinkToFit="1"/>
    </xf>
    <xf numFmtId="0" fontId="14" fillId="25" borderId="131" xfId="0" applyBorder="1" applyAlignment="1">
      <alignment horizontal="center" vertical="center" wrapText="1" shrinkToFit="1"/>
    </xf>
    <xf numFmtId="0" fontId="14" fillId="25" borderId="131" xfId="0" applyBorder="1" applyAlignment="1">
      <alignment horizontal="left" vertical="center" wrapText="1" shrinkToFit="1"/>
    </xf>
    <xf numFmtId="4" fontId="15" fillId="24" borderId="10" xfId="0" applyNumberFormat="1" applyFont="1" applyBorder="1" applyAlignment="1">
      <alignment horizontal="right" vertical="center" wrapText="1" shrinkToFit="1"/>
    </xf>
    <xf numFmtId="4" fontId="15" fillId="24" borderId="132" xfId="0" applyNumberFormat="1" applyFont="1" applyBorder="1" applyAlignment="1">
      <alignment horizontal="right" vertical="center" wrapText="1" shrinkToFit="1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4" fontId="14" fillId="25" borderId="14" xfId="0" applyNumberFormat="1" applyBorder="1" applyAlignment="1">
      <alignment horizontal="right" vertical="center" wrapText="1" shrinkToFit="1"/>
    </xf>
    <xf numFmtId="4" fontId="15" fillId="24" borderId="15" xfId="0" applyNumberFormat="1" applyFont="1" applyBorder="1" applyAlignment="1">
      <alignment horizontal="right" vertical="center" wrapText="1" shrinkToFit="1"/>
    </xf>
    <xf numFmtId="4" fontId="15" fillId="24" borderId="133" xfId="0" applyNumberFormat="1" applyFont="1" applyBorder="1" applyAlignment="1">
      <alignment horizontal="right" vertical="center" wrapText="1" shrinkToFit="1"/>
    </xf>
    <xf numFmtId="0" fontId="15" fillId="24" borderId="134" xfId="0" applyFont="1" applyBorder="1" applyAlignment="1">
      <alignment horizontal="center" vertical="center" wrapText="1" shrinkToFit="1"/>
    </xf>
    <xf numFmtId="0" fontId="15" fillId="24" borderId="12" xfId="0" applyFont="1" applyBorder="1" applyAlignment="1">
      <alignment horizontal="center" vertical="center" wrapText="1" shrinkToFit="1"/>
    </xf>
    <xf numFmtId="0" fontId="15" fillId="24" borderId="135" xfId="0" applyFont="1" applyBorder="1" applyAlignment="1">
      <alignment horizontal="center" vertical="center" wrapText="1" shrinkToFit="1"/>
    </xf>
    <xf numFmtId="0" fontId="15" fillId="24" borderId="10" xfId="0" applyFont="1" applyBorder="1" applyAlignment="1">
      <alignment horizontal="center" vertical="center" wrapText="1" shrinkToFit="1"/>
    </xf>
    <xf numFmtId="0" fontId="15" fillId="24" borderId="136" xfId="0" applyFont="1" applyBorder="1" applyAlignment="1">
      <alignment horizontal="center" vertical="center" wrapText="1" shrinkToFit="1"/>
    </xf>
    <xf numFmtId="0" fontId="15" fillId="24" borderId="15" xfId="0" applyFont="1" applyBorder="1" applyAlignment="1">
      <alignment horizontal="center" vertical="center" wrapText="1" shrinkToFit="1"/>
    </xf>
    <xf numFmtId="0" fontId="7" fillId="24" borderId="0" xfId="0" applyAlignment="1">
      <alignment horizontal="left" vertical="center" wrapText="1" shrinkToFit="1"/>
    </xf>
    <xf numFmtId="0" fontId="14" fillId="25" borderId="10" xfId="0" applyFont="1" applyAlignment="1">
      <alignment horizontal="center" vertical="center" wrapText="1" shrinkToFit="1"/>
    </xf>
    <xf numFmtId="0" fontId="14" fillId="25" borderId="10" xfId="0" applyAlignment="1">
      <alignment horizontal="left" vertical="center" wrapText="1" shrinkToFit="1"/>
    </xf>
    <xf numFmtId="4" fontId="14" fillId="25" borderId="10" xfId="0" applyNumberFormat="1" applyAlignment="1">
      <alignment horizontal="right" vertical="center" wrapText="1" shrinkToFit="1"/>
    </xf>
    <xf numFmtId="0" fontId="14" fillId="25" borderId="13" xfId="0" applyAlignment="1">
      <alignment horizontal="center" vertical="center" wrapText="1" shrinkToFit="1"/>
    </xf>
    <xf numFmtId="0" fontId="14" fillId="25" borderId="13" xfId="0" applyAlignment="1">
      <alignment horizontal="left" vertical="center" wrapText="1" shrinkToFit="1"/>
    </xf>
    <xf numFmtId="4" fontId="14" fillId="25" borderId="13" xfId="0" applyNumberFormat="1" applyAlignment="1">
      <alignment horizontal="right" vertical="center" wrapText="1" shrinkToFit="1"/>
    </xf>
    <xf numFmtId="0" fontId="14" fillId="25" borderId="10" xfId="0" applyAlignment="1">
      <alignment horizontal="center" vertical="center" wrapText="1" shrinkToFit="1"/>
    </xf>
    <xf numFmtId="0" fontId="5" fillId="24" borderId="0" xfId="0" applyAlignment="1">
      <alignment horizontal="center" vertical="center" wrapText="1" shrinkToFit="1"/>
    </xf>
    <xf numFmtId="49" fontId="5" fillId="25" borderId="10" xfId="0" applyFont="1" applyAlignment="1">
      <alignment horizontal="center" vertical="center" wrapText="1"/>
    </xf>
    <xf numFmtId="49" fontId="4" fillId="24" borderId="0" xfId="0" applyAlignment="1">
      <alignment horizontal="center" vertical="center" wrapText="1"/>
    </xf>
    <xf numFmtId="49" fontId="0" fillId="25" borderId="10" xfId="0" applyAlignment="1">
      <alignment horizontal="center" vertical="center" wrapText="1"/>
    </xf>
    <xf numFmtId="0" fontId="8" fillId="0" borderId="0" xfId="58" applyFont="1" applyFill="1" applyAlignment="1">
      <alignment horizontal="center"/>
      <protection/>
    </xf>
    <xf numFmtId="49" fontId="6" fillId="24" borderId="10" xfId="0" applyAlignment="1">
      <alignment horizontal="center" vertical="center" wrapText="1"/>
    </xf>
    <xf numFmtId="49" fontId="6" fillId="24" borderId="10" xfId="0" applyAlignment="1">
      <alignment horizontal="right" vertical="center" wrapText="1"/>
    </xf>
    <xf numFmtId="49" fontId="2" fillId="24" borderId="10" xfId="0" applyAlignment="1">
      <alignment horizontal="center" vertical="center" wrapText="1"/>
    </xf>
    <xf numFmtId="49" fontId="5" fillId="24" borderId="10" xfId="0" applyAlignment="1">
      <alignment horizontal="left" vertical="center" wrapText="1"/>
    </xf>
    <xf numFmtId="49" fontId="5" fillId="24" borderId="10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7" fillId="24" borderId="10" xfId="0" applyAlignment="1">
      <alignment horizontal="left" vertical="center" wrapText="1"/>
    </xf>
    <xf numFmtId="49" fontId="7" fillId="24" borderId="10" xfId="0" applyAlignment="1">
      <alignment horizontal="right" vertical="center" wrapText="1"/>
    </xf>
    <xf numFmtId="49" fontId="6" fillId="24" borderId="137" xfId="0" applyAlignment="1">
      <alignment horizontal="right" vertical="center" wrapText="1"/>
    </xf>
    <xf numFmtId="49" fontId="5" fillId="25" borderId="10" xfId="0" applyAlignment="1">
      <alignment horizontal="center" vertical="center" wrapText="1"/>
    </xf>
    <xf numFmtId="49" fontId="5" fillId="25" borderId="10" xfId="0" applyAlignment="1">
      <alignment horizontal="left" vertical="center" wrapText="1"/>
    </xf>
    <xf numFmtId="49" fontId="5" fillId="25" borderId="10" xfId="0" applyAlignment="1">
      <alignment horizontal="right" vertical="center" wrapText="1"/>
    </xf>
    <xf numFmtId="49" fontId="2" fillId="25" borderId="10" xfId="0" applyAlignment="1">
      <alignment horizontal="center" vertical="center" wrapText="1"/>
    </xf>
    <xf numFmtId="0" fontId="39" fillId="0" borderId="13" xfId="60" applyFont="1" applyFill="1" applyBorder="1" applyAlignment="1">
      <alignment horizontal="center" vertical="center" wrapText="1"/>
      <protection/>
    </xf>
    <xf numFmtId="0" fontId="40" fillId="0" borderId="138" xfId="60" applyFont="1" applyFill="1" applyBorder="1" applyAlignment="1">
      <alignment horizontal="center" vertical="center" wrapText="1"/>
      <protection/>
    </xf>
    <xf numFmtId="0" fontId="41" fillId="0" borderId="14" xfId="60" applyFont="1" applyFill="1" applyBorder="1" applyAlignment="1">
      <alignment horizontal="center" vertical="center" wrapText="1"/>
      <protection/>
    </xf>
    <xf numFmtId="0" fontId="39" fillId="0" borderId="10" xfId="60" applyFont="1" applyFill="1" applyBorder="1" applyAlignment="1">
      <alignment horizontal="center" vertical="center" wrapText="1"/>
      <protection/>
    </xf>
    <xf numFmtId="0" fontId="42" fillId="0" borderId="14" xfId="60" applyFont="1" applyFill="1" applyBorder="1" applyAlignment="1">
      <alignment horizontal="center" vertical="center" wrapText="1"/>
      <protection/>
    </xf>
    <xf numFmtId="0" fontId="43" fillId="0" borderId="14" xfId="60" applyFont="1" applyFill="1" applyBorder="1" applyAlignment="1">
      <alignment horizontal="center" vertical="center" wrapText="1"/>
      <protection/>
    </xf>
    <xf numFmtId="0" fontId="42" fillId="0" borderId="10" xfId="60" applyFont="1" applyFill="1" applyBorder="1" applyAlignment="1">
      <alignment horizontal="center" vertical="center" wrapText="1"/>
      <protection/>
    </xf>
    <xf numFmtId="0" fontId="39" fillId="0" borderId="139" xfId="60" applyFont="1" applyFill="1" applyBorder="1" applyAlignment="1">
      <alignment horizontal="center" vertical="center" wrapText="1"/>
      <protection/>
    </xf>
    <xf numFmtId="3" fontId="12" fillId="0" borderId="140" xfId="60" applyNumberFormat="1" applyFont="1" applyFill="1" applyBorder="1" applyAlignment="1">
      <alignment horizontal="center" vertical="center" wrapText="1"/>
      <protection/>
    </xf>
    <xf numFmtId="3" fontId="12" fillId="0" borderId="38" xfId="60" applyNumberFormat="1" applyFont="1" applyFill="1" applyBorder="1" applyAlignment="1">
      <alignment horizontal="center" vertical="center" wrapText="1"/>
      <protection/>
    </xf>
    <xf numFmtId="3" fontId="12" fillId="0" borderId="30" xfId="60" applyNumberFormat="1" applyFont="1" applyFill="1" applyBorder="1" applyAlignment="1">
      <alignment horizontal="center" vertical="center" wrapText="1"/>
      <protection/>
    </xf>
    <xf numFmtId="0" fontId="46" fillId="0" borderId="141" xfId="55" applyFont="1" applyFill="1" applyBorder="1" applyAlignment="1">
      <alignment horizontal="left" vertical="center" wrapText="1"/>
      <protection/>
    </xf>
    <xf numFmtId="0" fontId="46" fillId="0" borderId="142" xfId="55" applyFont="1" applyFill="1" applyBorder="1" applyAlignment="1">
      <alignment horizontal="left" vertical="center" wrapText="1"/>
      <protection/>
    </xf>
    <xf numFmtId="0" fontId="39" fillId="0" borderId="143" xfId="60" applyFont="1" applyFill="1" applyBorder="1" applyAlignment="1">
      <alignment horizontal="center" vertical="center" wrapText="1"/>
      <protection/>
    </xf>
    <xf numFmtId="0" fontId="39" fillId="0" borderId="144" xfId="60" applyFont="1" applyFill="1" applyBorder="1" applyAlignment="1">
      <alignment horizontal="center" vertical="center" wrapText="1"/>
      <protection/>
    </xf>
    <xf numFmtId="0" fontId="12" fillId="0" borderId="145" xfId="60" applyFont="1" applyFill="1" applyBorder="1" applyAlignment="1">
      <alignment horizontal="center" vertical="center" wrapText="1"/>
      <protection/>
    </xf>
    <xf numFmtId="0" fontId="12" fillId="0" borderId="140" xfId="60" applyFont="1" applyFill="1" applyBorder="1" applyAlignment="1">
      <alignment horizontal="center" vertical="center" wrapText="1"/>
      <protection/>
    </xf>
    <xf numFmtId="0" fontId="39" fillId="0" borderId="143" xfId="55" applyFont="1" applyFill="1" applyBorder="1" applyAlignment="1">
      <alignment horizontal="center" vertical="center" wrapText="1"/>
      <protection/>
    </xf>
    <xf numFmtId="0" fontId="39" fillId="0" borderId="144" xfId="55" applyFont="1" applyFill="1" applyBorder="1" applyAlignment="1">
      <alignment horizontal="center" vertical="center" wrapText="1"/>
      <protection/>
    </xf>
    <xf numFmtId="3" fontId="10" fillId="0" borderId="146" xfId="60" applyNumberFormat="1" applyFont="1" applyFill="1" applyBorder="1" applyAlignment="1">
      <alignment horizontal="center" vertical="center" wrapText="1"/>
      <protection/>
    </xf>
    <xf numFmtId="3" fontId="10" fillId="0" borderId="18" xfId="60" applyNumberFormat="1" applyFont="1" applyFill="1" applyBorder="1" applyAlignment="1">
      <alignment horizontal="center" vertical="center" wrapText="1"/>
      <protection/>
    </xf>
    <xf numFmtId="3" fontId="10" fillId="0" borderId="37" xfId="60" applyNumberFormat="1" applyFont="1" applyFill="1" applyBorder="1" applyAlignment="1">
      <alignment horizontal="center" vertical="center" wrapText="1"/>
      <protection/>
    </xf>
    <xf numFmtId="0" fontId="46" fillId="0" borderId="141" xfId="60" applyFont="1" applyFill="1" applyBorder="1" applyAlignment="1">
      <alignment horizontal="left" vertical="center" wrapText="1"/>
      <protection/>
    </xf>
    <xf numFmtId="0" fontId="46" fillId="0" borderId="147" xfId="55" applyFont="1" applyFill="1" applyBorder="1" applyAlignment="1">
      <alignment horizontal="left" vertical="center" wrapText="1"/>
      <protection/>
    </xf>
    <xf numFmtId="0" fontId="46" fillId="0" borderId="148" xfId="60" applyFont="1" applyFill="1" applyBorder="1" applyAlignment="1">
      <alignment horizontal="left" vertical="center" wrapText="1"/>
      <protection/>
    </xf>
    <xf numFmtId="0" fontId="46" fillId="0" borderId="142" xfId="61" applyFont="1" applyFill="1" applyBorder="1" applyAlignment="1">
      <alignment horizontal="left" vertical="center" wrapText="1"/>
      <protection/>
    </xf>
    <xf numFmtId="0" fontId="39" fillId="0" borderId="149" xfId="55" applyFont="1" applyFill="1" applyBorder="1" applyAlignment="1">
      <alignment horizontal="center" vertical="center" wrapText="1"/>
      <protection/>
    </xf>
    <xf numFmtId="0" fontId="46" fillId="0" borderId="148" xfId="55" applyFont="1" applyFill="1" applyBorder="1" applyAlignment="1">
      <alignment horizontal="left" vertical="center" wrapText="1"/>
      <protection/>
    </xf>
    <xf numFmtId="3" fontId="12" fillId="0" borderId="31" xfId="60" applyNumberFormat="1" applyFont="1" applyFill="1" applyBorder="1" applyAlignment="1">
      <alignment horizontal="center" vertical="center" wrapText="1"/>
      <protection/>
    </xf>
    <xf numFmtId="0" fontId="46" fillId="0" borderId="142" xfId="60" applyFont="1" applyFill="1" applyBorder="1" applyAlignment="1">
      <alignment horizontal="left" vertical="center" wrapText="1"/>
      <protection/>
    </xf>
    <xf numFmtId="0" fontId="12" fillId="0" borderId="20" xfId="60" applyFont="1" applyFill="1" applyBorder="1" applyAlignment="1">
      <alignment horizontal="center" vertical="center" wrapText="1"/>
      <protection/>
    </xf>
    <xf numFmtId="0" fontId="12" fillId="0" borderId="30" xfId="60" applyFont="1" applyFill="1" applyBorder="1" applyAlignment="1">
      <alignment horizontal="center" vertical="center" wrapText="1"/>
      <protection/>
    </xf>
    <xf numFmtId="0" fontId="12" fillId="0" borderId="31" xfId="60" applyFont="1" applyFill="1" applyBorder="1" applyAlignment="1">
      <alignment horizontal="center" vertical="center" wrapText="1"/>
      <protection/>
    </xf>
    <xf numFmtId="3" fontId="10" fillId="0" borderId="14" xfId="60" applyNumberFormat="1" applyFont="1" applyFill="1" applyBorder="1" applyAlignment="1">
      <alignment horizontal="center" vertical="center" wrapText="1"/>
      <protection/>
    </xf>
    <xf numFmtId="3" fontId="10" fillId="0" borderId="28" xfId="60" applyNumberFormat="1" applyFont="1" applyFill="1" applyBorder="1" applyAlignment="1">
      <alignment horizontal="center" vertical="center" wrapText="1"/>
      <protection/>
    </xf>
    <xf numFmtId="3" fontId="12" fillId="0" borderId="20" xfId="60" applyNumberFormat="1" applyFont="1" applyFill="1" applyBorder="1" applyAlignment="1">
      <alignment horizontal="center" vertical="center" wrapText="1"/>
      <protection/>
    </xf>
    <xf numFmtId="3" fontId="12" fillId="0" borderId="26" xfId="60" applyNumberFormat="1" applyFont="1" applyFill="1" applyBorder="1" applyAlignment="1">
      <alignment horizontal="center" vertical="center" wrapText="1"/>
      <protection/>
    </xf>
    <xf numFmtId="3" fontId="47" fillId="0" borderId="146" xfId="61" applyNumberFormat="1" applyFont="1" applyFill="1" applyBorder="1" applyAlignment="1">
      <alignment horizontal="center" vertical="center" wrapText="1"/>
      <protection/>
    </xf>
    <xf numFmtId="3" fontId="47" fillId="0" borderId="37" xfId="61" applyNumberFormat="1" applyFont="1" applyFill="1" applyBorder="1" applyAlignment="1">
      <alignment horizontal="center" vertical="center" wrapText="1"/>
      <protection/>
    </xf>
    <xf numFmtId="0" fontId="39" fillId="0" borderId="149" xfId="60" applyFont="1" applyFill="1" applyBorder="1" applyAlignment="1">
      <alignment horizontal="center" vertical="center" wrapText="1"/>
      <protection/>
    </xf>
    <xf numFmtId="0" fontId="46" fillId="0" borderId="150" xfId="60" applyFont="1" applyFill="1" applyBorder="1" applyAlignment="1">
      <alignment horizontal="left" vertical="center" wrapText="1"/>
      <protection/>
    </xf>
    <xf numFmtId="0" fontId="36" fillId="0" borderId="0" xfId="60" applyFont="1" applyBorder="1" applyAlignment="1">
      <alignment horizontal="center" vertical="center" wrapText="1"/>
      <protection/>
    </xf>
    <xf numFmtId="49" fontId="56" fillId="0" borderId="68" xfId="52" applyNumberFormat="1" applyFont="1" applyFill="1" applyBorder="1" applyAlignment="1">
      <alignment horizontal="center" vertical="center"/>
      <protection/>
    </xf>
    <xf numFmtId="49" fontId="56" fillId="0" borderId="79" xfId="52" applyNumberFormat="1" applyFont="1" applyFill="1" applyBorder="1" applyAlignment="1">
      <alignment horizontal="center" vertical="center"/>
      <protection/>
    </xf>
    <xf numFmtId="0" fontId="4" fillId="0" borderId="151" xfId="52" applyFont="1" applyFill="1" applyBorder="1" applyAlignment="1">
      <alignment horizontal="left" vertical="center" wrapText="1"/>
      <protection/>
    </xf>
    <xf numFmtId="0" fontId="4" fillId="0" borderId="79" xfId="52" applyFont="1" applyFill="1" applyBorder="1" applyAlignment="1">
      <alignment horizontal="left" vertical="center" wrapText="1"/>
      <protection/>
    </xf>
    <xf numFmtId="49" fontId="56" fillId="0" borderId="68" xfId="52" applyNumberFormat="1" applyFont="1" applyFill="1" applyBorder="1" applyAlignment="1">
      <alignment horizontal="center" vertical="center"/>
      <protection/>
    </xf>
    <xf numFmtId="49" fontId="56" fillId="0" borderId="79" xfId="52" applyNumberFormat="1" applyFont="1" applyFill="1" applyBorder="1" applyAlignment="1">
      <alignment horizontal="center" vertical="center"/>
      <protection/>
    </xf>
    <xf numFmtId="49" fontId="56" fillId="0" borderId="152" xfId="52" applyNumberFormat="1" applyFont="1" applyFill="1" applyBorder="1" applyAlignment="1">
      <alignment horizontal="center" vertical="center" wrapText="1"/>
      <protection/>
    </xf>
    <xf numFmtId="49" fontId="56" fillId="0" borderId="68" xfId="52" applyNumberFormat="1" applyFont="1" applyFill="1" applyBorder="1" applyAlignment="1">
      <alignment horizontal="center" vertical="center" wrapText="1"/>
      <protection/>
    </xf>
    <xf numFmtId="49" fontId="56" fillId="0" borderId="79" xfId="52" applyNumberFormat="1" applyFont="1" applyFill="1" applyBorder="1" applyAlignment="1">
      <alignment horizontal="center" vertical="center" wrapText="1"/>
      <protection/>
    </xf>
    <xf numFmtId="0" fontId="58" fillId="0" borderId="79" xfId="52" applyFont="1" applyFill="1" applyBorder="1" applyAlignment="1">
      <alignment horizontal="left" vertical="center" wrapText="1"/>
      <protection/>
    </xf>
    <xf numFmtId="0" fontId="11" fillId="26" borderId="151" xfId="52" applyFont="1" applyFill="1" applyBorder="1" applyAlignment="1">
      <alignment horizontal="center" vertical="center" wrapText="1"/>
      <protection/>
    </xf>
    <xf numFmtId="0" fontId="11" fillId="26" borderId="79" xfId="52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top" wrapText="1"/>
      <protection/>
    </xf>
    <xf numFmtId="0" fontId="41" fillId="26" borderId="153" xfId="52" applyFont="1" applyFill="1" applyBorder="1" applyAlignment="1">
      <alignment horizontal="center" vertical="center" wrapText="1"/>
      <protection/>
    </xf>
    <xf numFmtId="0" fontId="41" fillId="26" borderId="154" xfId="52" applyFont="1" applyFill="1" applyBorder="1" applyAlignment="1">
      <alignment horizontal="center" vertical="center" wrapText="1"/>
      <protection/>
    </xf>
    <xf numFmtId="0" fontId="41" fillId="26" borderId="155" xfId="52" applyFont="1" applyFill="1" applyBorder="1" applyAlignment="1">
      <alignment horizontal="center" vertical="center" wrapText="1"/>
      <protection/>
    </xf>
    <xf numFmtId="0" fontId="11" fillId="26" borderId="85" xfId="52" applyFont="1" applyFill="1" applyBorder="1" applyAlignment="1">
      <alignment horizontal="center" vertical="center" wrapText="1"/>
      <protection/>
    </xf>
    <xf numFmtId="0" fontId="11" fillId="26" borderId="75" xfId="52" applyFont="1" applyFill="1" applyBorder="1" applyAlignment="1">
      <alignment horizontal="center" vertical="center" wrapText="1"/>
      <protection/>
    </xf>
    <xf numFmtId="0" fontId="11" fillId="26" borderId="81" xfId="52" applyFont="1" applyFill="1" applyBorder="1" applyAlignment="1">
      <alignment horizontal="center" vertical="center" wrapText="1"/>
      <protection/>
    </xf>
    <xf numFmtId="0" fontId="11" fillId="26" borderId="156" xfId="52" applyFont="1" applyFill="1" applyBorder="1" applyAlignment="1">
      <alignment horizontal="center" vertical="center" wrapText="1"/>
      <protection/>
    </xf>
    <xf numFmtId="0" fontId="11" fillId="26" borderId="157" xfId="52" applyFont="1" applyFill="1" applyBorder="1" applyAlignment="1">
      <alignment horizontal="center" vertical="center" wrapText="1"/>
      <protection/>
    </xf>
    <xf numFmtId="0" fontId="9" fillId="0" borderId="158" xfId="56" applyBorder="1" applyAlignment="1">
      <alignment horizontal="center" vertical="center" wrapText="1"/>
      <protection/>
    </xf>
    <xf numFmtId="0" fontId="11" fillId="26" borderId="152" xfId="52" applyFont="1" applyFill="1" applyBorder="1" applyAlignment="1">
      <alignment horizontal="center" vertical="center" wrapText="1"/>
      <protection/>
    </xf>
    <xf numFmtId="0" fontId="11" fillId="26" borderId="68" xfId="52" applyFont="1" applyFill="1" applyBorder="1" applyAlignment="1">
      <alignment horizontal="center" vertical="center" wrapText="1"/>
      <protection/>
    </xf>
    <xf numFmtId="0" fontId="11" fillId="26" borderId="159" xfId="52" applyFont="1" applyFill="1" applyBorder="1" applyAlignment="1">
      <alignment horizontal="center" vertical="center" wrapText="1"/>
      <protection/>
    </xf>
    <xf numFmtId="0" fontId="11" fillId="26" borderId="69" xfId="52" applyFont="1" applyFill="1" applyBorder="1" applyAlignment="1">
      <alignment horizontal="center" vertical="center" wrapText="1"/>
      <protection/>
    </xf>
    <xf numFmtId="0" fontId="11" fillId="26" borderId="160" xfId="52" applyFont="1" applyFill="1" applyBorder="1" applyAlignment="1">
      <alignment horizontal="center" vertical="center" wrapText="1"/>
      <protection/>
    </xf>
    <xf numFmtId="0" fontId="36" fillId="0" borderId="0" xfId="54" applyFont="1" applyBorder="1" applyAlignment="1">
      <alignment horizontal="center" vertical="center" wrapText="1"/>
      <protection/>
    </xf>
    <xf numFmtId="0" fontId="42" fillId="0" borderId="149" xfId="54" applyFont="1" applyBorder="1" applyAlignment="1">
      <alignment horizontal="center" vertical="center"/>
      <protection/>
    </xf>
    <xf numFmtId="0" fontId="9" fillId="0" borderId="14" xfId="54" applyFont="1" applyBorder="1" applyAlignment="1">
      <alignment horizontal="center" vertical="center" wrapText="1"/>
      <protection/>
    </xf>
    <xf numFmtId="0" fontId="9" fillId="0" borderId="18" xfId="54" applyFont="1" applyBorder="1" applyAlignment="1">
      <alignment horizontal="center" vertical="center" wrapText="1"/>
      <protection/>
    </xf>
    <xf numFmtId="0" fontId="9" fillId="0" borderId="161" xfId="54" applyFont="1" applyBorder="1" applyAlignment="1">
      <alignment horizontal="center" vertical="center" wrapText="1"/>
      <protection/>
    </xf>
    <xf numFmtId="0" fontId="42" fillId="0" borderId="65" xfId="54" applyFont="1" applyBorder="1" applyAlignment="1">
      <alignment horizontal="right" vertical="center"/>
      <protection/>
    </xf>
    <xf numFmtId="0" fontId="42" fillId="0" borderId="94" xfId="54" applyFont="1" applyBorder="1" applyAlignment="1">
      <alignment horizontal="right" vertical="center"/>
      <protection/>
    </xf>
    <xf numFmtId="0" fontId="42" fillId="0" borderId="66" xfId="54" applyFont="1" applyBorder="1" applyAlignment="1">
      <alignment horizontal="right" vertical="center"/>
      <protection/>
    </xf>
    <xf numFmtId="0" fontId="66" fillId="0" borderId="0" xfId="53" applyFont="1" applyBorder="1" applyAlignment="1">
      <alignment horizontal="center" vertical="top"/>
      <protection/>
    </xf>
    <xf numFmtId="3" fontId="48" fillId="0" borderId="104" xfId="53" applyNumberFormat="1" applyFont="1" applyBorder="1" applyAlignment="1">
      <alignment horizontal="center" vertical="center"/>
      <protection/>
    </xf>
    <xf numFmtId="3" fontId="48" fillId="0" borderId="162" xfId="53" applyNumberFormat="1" applyFont="1" applyBorder="1" applyAlignment="1">
      <alignment horizontal="center" vertical="center"/>
      <protection/>
    </xf>
    <xf numFmtId="3" fontId="48" fillId="0" borderId="65" xfId="53" applyNumberFormat="1" applyFont="1" applyBorder="1" applyAlignment="1">
      <alignment horizontal="center" vertical="center"/>
      <protection/>
    </xf>
    <xf numFmtId="3" fontId="48" fillId="0" borderId="163" xfId="53" applyNumberFormat="1" applyFont="1" applyBorder="1" applyAlignment="1">
      <alignment horizontal="center" vertical="center"/>
      <protection/>
    </xf>
    <xf numFmtId="0" fontId="39" fillId="0" borderId="0" xfId="53" applyFont="1" applyBorder="1" applyAlignment="1">
      <alignment horizontal="center" vertical="center" wrapText="1"/>
      <protection/>
    </xf>
    <xf numFmtId="0" fontId="11" fillId="0" borderId="102" xfId="53" applyFont="1" applyBorder="1" applyAlignment="1">
      <alignment horizontal="center" vertical="center" wrapText="1"/>
      <protection/>
    </xf>
    <xf numFmtId="0" fontId="11" fillId="0" borderId="104" xfId="53" applyFont="1" applyBorder="1" applyAlignment="1">
      <alignment horizontal="center" vertical="center" wrapText="1"/>
      <protection/>
    </xf>
    <xf numFmtId="0" fontId="11" fillId="0" borderId="164" xfId="53" applyFont="1" applyBorder="1" applyAlignment="1">
      <alignment horizontal="center" vertical="center" wrapText="1"/>
      <protection/>
    </xf>
    <xf numFmtId="0" fontId="11" fillId="0" borderId="162" xfId="53" applyFont="1" applyBorder="1" applyAlignment="1">
      <alignment horizontal="center" vertical="center" wrapText="1"/>
      <protection/>
    </xf>
    <xf numFmtId="3" fontId="12" fillId="0" borderId="104" xfId="53" applyNumberFormat="1" applyBorder="1" applyAlignment="1">
      <alignment horizontal="center" vertical="center"/>
      <protection/>
    </xf>
    <xf numFmtId="3" fontId="12" fillId="0" borderId="162" xfId="53" applyNumberFormat="1" applyBorder="1" applyAlignment="1">
      <alignment horizontal="center" vertical="center"/>
      <protection/>
    </xf>
    <xf numFmtId="0" fontId="48" fillId="0" borderId="65" xfId="53" applyFont="1" applyBorder="1" applyAlignment="1">
      <alignment horizontal="right" vertical="center"/>
      <protection/>
    </xf>
    <xf numFmtId="0" fontId="48" fillId="0" borderId="163" xfId="53" applyFont="1" applyBorder="1" applyAlignment="1">
      <alignment horizontal="right" vertical="center"/>
      <protection/>
    </xf>
    <xf numFmtId="0" fontId="12" fillId="0" borderId="102" xfId="53" applyBorder="1" applyAlignment="1">
      <alignment horizontal="center" vertical="center"/>
      <protection/>
    </xf>
    <xf numFmtId="0" fontId="12" fillId="0" borderId="104" xfId="53" applyFont="1" applyBorder="1" applyAlignment="1">
      <alignment horizontal="center" vertical="center" wrapText="1"/>
      <protection/>
    </xf>
    <xf numFmtId="0" fontId="12" fillId="0" borderId="104" xfId="53" applyBorder="1" applyAlignment="1">
      <alignment horizontal="center" vertical="center"/>
      <protection/>
    </xf>
    <xf numFmtId="3" fontId="48" fillId="0" borderId="165" xfId="53" applyNumberFormat="1" applyFont="1" applyBorder="1" applyAlignment="1">
      <alignment horizontal="center" vertical="center"/>
      <protection/>
    </xf>
    <xf numFmtId="3" fontId="48" fillId="0" borderId="166" xfId="53" applyNumberFormat="1" applyFont="1" applyBorder="1" applyAlignment="1">
      <alignment horizontal="center" vertical="center"/>
      <protection/>
    </xf>
    <xf numFmtId="0" fontId="12" fillId="0" borderId="167" xfId="53" applyBorder="1" applyAlignment="1">
      <alignment horizontal="center" vertical="center"/>
      <protection/>
    </xf>
    <xf numFmtId="0" fontId="12" fillId="0" borderId="168" xfId="53" applyBorder="1" applyAlignment="1">
      <alignment horizontal="center" vertical="center"/>
      <protection/>
    </xf>
    <xf numFmtId="0" fontId="12" fillId="0" borderId="109" xfId="53" applyFont="1" applyBorder="1" applyAlignment="1">
      <alignment horizontal="center" vertical="center"/>
      <protection/>
    </xf>
    <xf numFmtId="0" fontId="12" fillId="0" borderId="120" xfId="53" applyBorder="1" applyAlignment="1">
      <alignment horizontal="center" vertical="center"/>
      <protection/>
    </xf>
    <xf numFmtId="3" fontId="12" fillId="0" borderId="109" xfId="53" applyNumberFormat="1" applyBorder="1" applyAlignment="1">
      <alignment horizontal="center" vertical="center"/>
      <protection/>
    </xf>
    <xf numFmtId="3" fontId="12" fillId="0" borderId="120" xfId="53" applyNumberFormat="1" applyBorder="1" applyAlignment="1">
      <alignment horizontal="center" vertical="center"/>
      <protection/>
    </xf>
    <xf numFmtId="3" fontId="12" fillId="0" borderId="169" xfId="53" applyNumberFormat="1" applyBorder="1" applyAlignment="1">
      <alignment horizontal="center" vertical="center"/>
      <protection/>
    </xf>
    <xf numFmtId="3" fontId="12" fillId="0" borderId="170" xfId="53" applyNumberFormat="1" applyBorder="1" applyAlignment="1">
      <alignment horizontal="center" vertical="center"/>
      <protection/>
    </xf>
    <xf numFmtId="0" fontId="12" fillId="0" borderId="171" xfId="53" applyBorder="1" applyAlignment="1">
      <alignment horizontal="center" vertical="center"/>
      <protection/>
    </xf>
    <xf numFmtId="0" fontId="12" fillId="0" borderId="103" xfId="53" applyBorder="1" applyAlignment="1">
      <alignment horizontal="center" vertical="center"/>
      <protection/>
    </xf>
    <xf numFmtId="3" fontId="12" fillId="0" borderId="103" xfId="53" applyNumberFormat="1" applyBorder="1" applyAlignment="1">
      <alignment horizontal="center" vertical="center"/>
      <protection/>
    </xf>
    <xf numFmtId="3" fontId="12" fillId="0" borderId="107" xfId="53" applyNumberFormat="1" applyBorder="1" applyAlignment="1">
      <alignment horizontal="center" vertical="center"/>
      <protection/>
    </xf>
    <xf numFmtId="0" fontId="12" fillId="0" borderId="107" xfId="53" applyBorder="1" applyAlignment="1">
      <alignment horizontal="center" vertical="center"/>
      <protection/>
    </xf>
    <xf numFmtId="3" fontId="12" fillId="0" borderId="172" xfId="53" applyNumberFormat="1" applyBorder="1" applyAlignment="1">
      <alignment horizontal="center" vertical="center"/>
      <protection/>
    </xf>
    <xf numFmtId="0" fontId="12" fillId="0" borderId="173" xfId="53" applyBorder="1" applyAlignment="1">
      <alignment horizontal="center" vertical="center"/>
      <protection/>
    </xf>
    <xf numFmtId="0" fontId="12" fillId="0" borderId="174" xfId="53" applyBorder="1" applyAlignment="1">
      <alignment horizontal="center" vertical="center"/>
      <protection/>
    </xf>
    <xf numFmtId="3" fontId="12" fillId="0" borderId="173" xfId="53" applyNumberFormat="1" applyBorder="1" applyAlignment="1">
      <alignment horizontal="center" vertical="center"/>
      <protection/>
    </xf>
    <xf numFmtId="3" fontId="12" fillId="0" borderId="174" xfId="53" applyNumberFormat="1" applyBorder="1" applyAlignment="1">
      <alignment horizontal="center" vertical="center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8647_20060508_140808" xfId="52"/>
    <cellStyle name="Normalny_fundusz budżet-4" xfId="53"/>
    <cellStyle name="Normalny_U_98_budzet 2012" xfId="54"/>
    <cellStyle name="Normalny_U15_Zal_budzet_2011" xfId="55"/>
    <cellStyle name="Normalny_ukł wykonawczy_Projekt załączników" xfId="56"/>
    <cellStyle name="Normalny_Zał_budżet_252" xfId="57"/>
    <cellStyle name="Normalny_Zarz60_Zał1_Projekt załączników2007" xfId="58"/>
    <cellStyle name="Normalny_Zarz78_Zał1_Projekt załączników2008" xfId="59"/>
    <cellStyle name="Normalny_Zarz78_Zał1_Projekt załączników2008_U15_Zal_budzet_2011" xfId="60"/>
    <cellStyle name="Normalny_Zarz78_Zał1_Projekt załączników2008_U86_zm_budz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workbookViewId="0" topLeftCell="A1">
      <selection activeCell="A1" sqref="A1:P23"/>
    </sheetView>
  </sheetViews>
  <sheetFormatPr defaultColWidth="9.33203125" defaultRowHeight="12.75"/>
  <cols>
    <col min="1" max="1" width="5.33203125" style="0" customWidth="1"/>
    <col min="2" max="2" width="8.16015625" style="0" customWidth="1"/>
    <col min="3" max="3" width="4.33203125" style="0" customWidth="1"/>
    <col min="4" max="4" width="1.5" style="0" customWidth="1"/>
    <col min="5" max="5" width="4.33203125" style="0" customWidth="1"/>
    <col min="6" max="6" width="32.5" style="0" customWidth="1"/>
    <col min="7" max="7" width="7.66015625" style="0" customWidth="1"/>
    <col min="8" max="8" width="1.171875" style="0" customWidth="1"/>
    <col min="9" max="9" width="14" style="0" customWidth="1"/>
    <col min="10" max="10" width="12.5" style="0" hidden="1" customWidth="1"/>
    <col min="11" max="11" width="14" style="0" customWidth="1"/>
    <col min="12" max="12" width="1.171875" style="0" customWidth="1"/>
    <col min="13" max="13" width="5.66015625" style="0" customWidth="1"/>
    <col min="14" max="14" width="6.33203125" style="0" customWidth="1"/>
    <col min="15" max="15" width="0.4921875" style="0" customWidth="1"/>
    <col min="16" max="16" width="0.82421875" style="0" customWidth="1"/>
  </cols>
  <sheetData>
    <row r="1" spans="1:15" s="11" customFormat="1" ht="21.75" customHeight="1">
      <c r="A1" s="431" t="s">
        <v>54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7" ht="7.5" customHeight="1">
      <c r="A2" s="437"/>
      <c r="B2" s="437"/>
      <c r="C2" s="437"/>
      <c r="D2" s="429"/>
      <c r="E2" s="429"/>
      <c r="F2" s="429"/>
      <c r="G2" s="429"/>
      <c r="H2" s="429"/>
      <c r="I2" s="437"/>
      <c r="J2" s="437"/>
      <c r="K2" s="437"/>
      <c r="L2" s="437"/>
      <c r="M2" s="437"/>
      <c r="N2" s="437"/>
      <c r="O2" s="437"/>
      <c r="P2" s="437"/>
      <c r="Q2" s="1"/>
    </row>
    <row r="3" spans="1:17" ht="34.5" customHeight="1">
      <c r="A3" s="2" t="s">
        <v>0</v>
      </c>
      <c r="B3" s="2" t="s">
        <v>1</v>
      </c>
      <c r="C3" s="430" t="s">
        <v>2</v>
      </c>
      <c r="D3" s="430"/>
      <c r="E3" s="430" t="s">
        <v>3</v>
      </c>
      <c r="F3" s="430"/>
      <c r="G3" s="430"/>
      <c r="H3" s="430" t="s">
        <v>4</v>
      </c>
      <c r="I3" s="430"/>
      <c r="J3" s="2" t="s">
        <v>5</v>
      </c>
      <c r="K3" s="2" t="s">
        <v>6</v>
      </c>
      <c r="L3" s="430" t="s">
        <v>55</v>
      </c>
      <c r="M3" s="430"/>
      <c r="N3" s="430"/>
      <c r="O3" s="430"/>
      <c r="P3" s="430"/>
      <c r="Q3" s="1"/>
    </row>
    <row r="4" spans="1:17" ht="11.25" customHeight="1">
      <c r="A4" s="3" t="s">
        <v>7</v>
      </c>
      <c r="B4" s="3" t="s">
        <v>8</v>
      </c>
      <c r="C4" s="441" t="s">
        <v>9</v>
      </c>
      <c r="D4" s="441"/>
      <c r="E4" s="441" t="s">
        <v>10</v>
      </c>
      <c r="F4" s="441"/>
      <c r="G4" s="441"/>
      <c r="H4" s="441" t="s">
        <v>11</v>
      </c>
      <c r="I4" s="441"/>
      <c r="J4" s="3" t="s">
        <v>12</v>
      </c>
      <c r="K4" s="12" t="s">
        <v>12</v>
      </c>
      <c r="L4" s="428" t="s">
        <v>13</v>
      </c>
      <c r="M4" s="441"/>
      <c r="N4" s="441"/>
      <c r="O4" s="441"/>
      <c r="P4" s="441"/>
      <c r="Q4" s="1"/>
    </row>
    <row r="5" spans="1:17" ht="13.5" customHeight="1">
      <c r="A5" s="432" t="s">
        <v>14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1"/>
    </row>
    <row r="6" spans="1:17" ht="19.5" customHeight="1">
      <c r="A6" s="3" t="s">
        <v>15</v>
      </c>
      <c r="B6" s="4"/>
      <c r="C6" s="444"/>
      <c r="D6" s="444"/>
      <c r="E6" s="442" t="s">
        <v>16</v>
      </c>
      <c r="F6" s="442"/>
      <c r="G6" s="442"/>
      <c r="H6" s="443" t="s">
        <v>17</v>
      </c>
      <c r="I6" s="443"/>
      <c r="J6" s="5" t="s">
        <v>18</v>
      </c>
      <c r="K6" s="5" t="s">
        <v>19</v>
      </c>
      <c r="L6" s="443" t="s">
        <v>20</v>
      </c>
      <c r="M6" s="443"/>
      <c r="N6" s="443"/>
      <c r="O6" s="443"/>
      <c r="P6" s="443"/>
      <c r="Q6" s="1"/>
    </row>
    <row r="7" spans="1:17" ht="28.5" customHeight="1">
      <c r="A7" s="2"/>
      <c r="B7" s="4"/>
      <c r="C7" s="444"/>
      <c r="D7" s="444"/>
      <c r="E7" s="442" t="s">
        <v>21</v>
      </c>
      <c r="F7" s="442"/>
      <c r="G7" s="442"/>
      <c r="H7" s="443" t="s">
        <v>18</v>
      </c>
      <c r="I7" s="443"/>
      <c r="J7" s="5" t="s">
        <v>18</v>
      </c>
      <c r="K7" s="5" t="s">
        <v>18</v>
      </c>
      <c r="L7" s="443" t="s">
        <v>18</v>
      </c>
      <c r="M7" s="443"/>
      <c r="N7" s="443"/>
      <c r="O7" s="443"/>
      <c r="P7" s="443"/>
      <c r="Q7" s="1"/>
    </row>
    <row r="8" spans="1:17" ht="24.75" customHeight="1">
      <c r="A8" s="4"/>
      <c r="B8" s="3" t="s">
        <v>22</v>
      </c>
      <c r="C8" s="444"/>
      <c r="D8" s="444"/>
      <c r="E8" s="442" t="s">
        <v>23</v>
      </c>
      <c r="F8" s="442"/>
      <c r="G8" s="442"/>
      <c r="H8" s="443" t="s">
        <v>24</v>
      </c>
      <c r="I8" s="443"/>
      <c r="J8" s="5" t="s">
        <v>18</v>
      </c>
      <c r="K8" s="5" t="s">
        <v>19</v>
      </c>
      <c r="L8" s="443" t="s">
        <v>25</v>
      </c>
      <c r="M8" s="443"/>
      <c r="N8" s="443"/>
      <c r="O8" s="443"/>
      <c r="P8" s="443"/>
      <c r="Q8" s="1"/>
    </row>
    <row r="9" spans="1:17" ht="28.5" customHeight="1">
      <c r="A9" s="4"/>
      <c r="B9" s="2"/>
      <c r="C9" s="444"/>
      <c r="D9" s="444"/>
      <c r="E9" s="442" t="s">
        <v>21</v>
      </c>
      <c r="F9" s="442"/>
      <c r="G9" s="442"/>
      <c r="H9" s="443" t="s">
        <v>18</v>
      </c>
      <c r="I9" s="443"/>
      <c r="J9" s="5" t="s">
        <v>18</v>
      </c>
      <c r="K9" s="5" t="s">
        <v>18</v>
      </c>
      <c r="L9" s="443" t="s">
        <v>18</v>
      </c>
      <c r="M9" s="443"/>
      <c r="N9" s="443"/>
      <c r="O9" s="443"/>
      <c r="P9" s="443"/>
      <c r="Q9" s="1"/>
    </row>
    <row r="10" spans="1:17" ht="16.5" customHeight="1">
      <c r="A10" s="4"/>
      <c r="B10" s="4"/>
      <c r="C10" s="441" t="s">
        <v>26</v>
      </c>
      <c r="D10" s="441"/>
      <c r="E10" s="442" t="s">
        <v>27</v>
      </c>
      <c r="F10" s="442"/>
      <c r="G10" s="442"/>
      <c r="H10" s="443" t="s">
        <v>24</v>
      </c>
      <c r="I10" s="443"/>
      <c r="J10" s="5" t="s">
        <v>18</v>
      </c>
      <c r="K10" s="5" t="s">
        <v>19</v>
      </c>
      <c r="L10" s="443" t="s">
        <v>25</v>
      </c>
      <c r="M10" s="443"/>
      <c r="N10" s="443"/>
      <c r="O10" s="443"/>
      <c r="P10" s="443"/>
      <c r="Q10" s="1"/>
    </row>
    <row r="11" spans="1:17" ht="22.5" customHeight="1">
      <c r="A11" s="3" t="s">
        <v>28</v>
      </c>
      <c r="B11" s="4"/>
      <c r="C11" s="444"/>
      <c r="D11" s="444"/>
      <c r="E11" s="442" t="s">
        <v>29</v>
      </c>
      <c r="F11" s="442"/>
      <c r="G11" s="442"/>
      <c r="H11" s="443" t="s">
        <v>30</v>
      </c>
      <c r="I11" s="443"/>
      <c r="J11" s="5" t="s">
        <v>18</v>
      </c>
      <c r="K11" s="5" t="s">
        <v>31</v>
      </c>
      <c r="L11" s="443" t="s">
        <v>32</v>
      </c>
      <c r="M11" s="443"/>
      <c r="N11" s="443"/>
      <c r="O11" s="443"/>
      <c r="P11" s="443"/>
      <c r="Q11" s="1"/>
    </row>
    <row r="12" spans="1:17" ht="28.5" customHeight="1">
      <c r="A12" s="2"/>
      <c r="B12" s="4"/>
      <c r="C12" s="444"/>
      <c r="D12" s="444"/>
      <c r="E12" s="442" t="s">
        <v>21</v>
      </c>
      <c r="F12" s="442"/>
      <c r="G12" s="442"/>
      <c r="H12" s="443" t="s">
        <v>33</v>
      </c>
      <c r="I12" s="443"/>
      <c r="J12" s="5" t="s">
        <v>18</v>
      </c>
      <c r="K12" s="5" t="s">
        <v>18</v>
      </c>
      <c r="L12" s="443" t="s">
        <v>33</v>
      </c>
      <c r="M12" s="443"/>
      <c r="N12" s="443"/>
      <c r="O12" s="443"/>
      <c r="P12" s="443"/>
      <c r="Q12" s="1"/>
    </row>
    <row r="13" spans="1:17" ht="43.5" customHeight="1">
      <c r="A13" s="4"/>
      <c r="B13" s="3" t="s">
        <v>34</v>
      </c>
      <c r="C13" s="444"/>
      <c r="D13" s="444"/>
      <c r="E13" s="442" t="s">
        <v>35</v>
      </c>
      <c r="F13" s="442"/>
      <c r="G13" s="442"/>
      <c r="H13" s="443" t="s">
        <v>36</v>
      </c>
      <c r="I13" s="443"/>
      <c r="J13" s="5" t="s">
        <v>18</v>
      </c>
      <c r="K13" s="5" t="s">
        <v>31</v>
      </c>
      <c r="L13" s="443" t="s">
        <v>37</v>
      </c>
      <c r="M13" s="443"/>
      <c r="N13" s="443"/>
      <c r="O13" s="443"/>
      <c r="P13" s="443"/>
      <c r="Q13" s="1"/>
    </row>
    <row r="14" spans="1:17" ht="28.5" customHeight="1">
      <c r="A14" s="4"/>
      <c r="B14" s="2"/>
      <c r="C14" s="444"/>
      <c r="D14" s="444"/>
      <c r="E14" s="442" t="s">
        <v>21</v>
      </c>
      <c r="F14" s="442"/>
      <c r="G14" s="442"/>
      <c r="H14" s="443" t="s">
        <v>18</v>
      </c>
      <c r="I14" s="443"/>
      <c r="J14" s="5" t="s">
        <v>18</v>
      </c>
      <c r="K14" s="5" t="s">
        <v>18</v>
      </c>
      <c r="L14" s="443" t="s">
        <v>18</v>
      </c>
      <c r="M14" s="443"/>
      <c r="N14" s="443"/>
      <c r="O14" s="443"/>
      <c r="P14" s="443"/>
      <c r="Q14" s="1"/>
    </row>
    <row r="15" spans="1:17" ht="30.75" customHeight="1">
      <c r="A15" s="4"/>
      <c r="B15" s="4"/>
      <c r="C15" s="441" t="s">
        <v>38</v>
      </c>
      <c r="D15" s="441"/>
      <c r="E15" s="442" t="s">
        <v>39</v>
      </c>
      <c r="F15" s="442"/>
      <c r="G15" s="442"/>
      <c r="H15" s="443" t="s">
        <v>40</v>
      </c>
      <c r="I15" s="443"/>
      <c r="J15" s="5" t="s">
        <v>18</v>
      </c>
      <c r="K15" s="5" t="s">
        <v>31</v>
      </c>
      <c r="L15" s="443" t="s">
        <v>41</v>
      </c>
      <c r="M15" s="443"/>
      <c r="N15" s="443"/>
      <c r="O15" s="443"/>
      <c r="P15" s="443"/>
      <c r="Q15" s="1"/>
    </row>
    <row r="16" spans="1:17" ht="13.5" customHeight="1">
      <c r="A16" s="440" t="s">
        <v>14</v>
      </c>
      <c r="B16" s="440"/>
      <c r="C16" s="440"/>
      <c r="D16" s="440"/>
      <c r="E16" s="440"/>
      <c r="F16" s="440"/>
      <c r="G16" s="6" t="s">
        <v>42</v>
      </c>
      <c r="H16" s="433" t="s">
        <v>43</v>
      </c>
      <c r="I16" s="433"/>
      <c r="J16" s="7" t="s">
        <v>18</v>
      </c>
      <c r="K16" s="7" t="s">
        <v>44</v>
      </c>
      <c r="L16" s="433" t="s">
        <v>45</v>
      </c>
      <c r="M16" s="433"/>
      <c r="N16" s="433"/>
      <c r="O16" s="433"/>
      <c r="P16" s="433"/>
      <c r="Q16" s="1"/>
    </row>
    <row r="17" spans="1:17" ht="28.5" customHeight="1">
      <c r="A17" s="434"/>
      <c r="B17" s="434"/>
      <c r="C17" s="434"/>
      <c r="D17" s="434"/>
      <c r="E17" s="435" t="s">
        <v>21</v>
      </c>
      <c r="F17" s="435"/>
      <c r="G17" s="435"/>
      <c r="H17" s="436" t="s">
        <v>46</v>
      </c>
      <c r="I17" s="436"/>
      <c r="J17" s="8" t="s">
        <v>18</v>
      </c>
      <c r="K17" s="8" t="s">
        <v>18</v>
      </c>
      <c r="L17" s="436" t="s">
        <v>46</v>
      </c>
      <c r="M17" s="436"/>
      <c r="N17" s="436"/>
      <c r="O17" s="436"/>
      <c r="P17" s="436"/>
      <c r="Q17" s="1"/>
    </row>
    <row r="18" spans="1:17" ht="11.25" customHeight="1">
      <c r="A18" s="437"/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1"/>
    </row>
    <row r="19" spans="1:17" ht="13.5" customHeight="1">
      <c r="A19" s="432" t="s">
        <v>47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1"/>
    </row>
    <row r="20" spans="1:17" ht="13.5" customHeight="1">
      <c r="A20" s="440" t="s">
        <v>47</v>
      </c>
      <c r="B20" s="440"/>
      <c r="C20" s="440"/>
      <c r="D20" s="440"/>
      <c r="E20" s="440"/>
      <c r="F20" s="440"/>
      <c r="G20" s="6" t="s">
        <v>42</v>
      </c>
      <c r="H20" s="433" t="s">
        <v>48</v>
      </c>
      <c r="I20" s="433"/>
      <c r="J20" s="7" t="s">
        <v>18</v>
      </c>
      <c r="K20" s="7" t="s">
        <v>18</v>
      </c>
      <c r="L20" s="433" t="s">
        <v>48</v>
      </c>
      <c r="M20" s="433"/>
      <c r="N20" s="433"/>
      <c r="O20" s="433"/>
      <c r="P20" s="433"/>
      <c r="Q20" s="1"/>
    </row>
    <row r="21" spans="1:17" ht="28.5" customHeight="1">
      <c r="A21" s="434"/>
      <c r="B21" s="434"/>
      <c r="C21" s="434"/>
      <c r="D21" s="434"/>
      <c r="E21" s="435" t="s">
        <v>21</v>
      </c>
      <c r="F21" s="435"/>
      <c r="G21" s="435"/>
      <c r="H21" s="436" t="s">
        <v>49</v>
      </c>
      <c r="I21" s="436"/>
      <c r="J21" s="8" t="s">
        <v>18</v>
      </c>
      <c r="K21" s="8" t="s">
        <v>18</v>
      </c>
      <c r="L21" s="436" t="s">
        <v>49</v>
      </c>
      <c r="M21" s="436"/>
      <c r="N21" s="436"/>
      <c r="O21" s="436"/>
      <c r="P21" s="436"/>
      <c r="Q21" s="1"/>
    </row>
    <row r="22" spans="1:17" ht="13.5" customHeight="1">
      <c r="A22" s="432" t="s">
        <v>50</v>
      </c>
      <c r="B22" s="432"/>
      <c r="C22" s="432"/>
      <c r="D22" s="432"/>
      <c r="E22" s="432"/>
      <c r="F22" s="432"/>
      <c r="G22" s="432"/>
      <c r="H22" s="433" t="s">
        <v>51</v>
      </c>
      <c r="I22" s="433"/>
      <c r="J22" s="7" t="s">
        <v>18</v>
      </c>
      <c r="K22" s="7" t="s">
        <v>44</v>
      </c>
      <c r="L22" s="433" t="s">
        <v>52</v>
      </c>
      <c r="M22" s="433"/>
      <c r="N22" s="433"/>
      <c r="O22" s="433"/>
      <c r="P22" s="433"/>
      <c r="Q22" s="1"/>
    </row>
    <row r="23" spans="1:17" ht="31.5" customHeight="1">
      <c r="A23" s="432"/>
      <c r="B23" s="432"/>
      <c r="C23" s="432"/>
      <c r="D23" s="432"/>
      <c r="E23" s="438" t="s">
        <v>21</v>
      </c>
      <c r="F23" s="438"/>
      <c r="G23" s="438"/>
      <c r="H23" s="439" t="s">
        <v>53</v>
      </c>
      <c r="I23" s="439"/>
      <c r="J23" s="9" t="s">
        <v>18</v>
      </c>
      <c r="K23" s="9" t="s">
        <v>18</v>
      </c>
      <c r="L23" s="439" t="s">
        <v>53</v>
      </c>
      <c r="M23" s="439"/>
      <c r="N23" s="439"/>
      <c r="O23" s="439"/>
      <c r="P23" s="439"/>
      <c r="Q23" s="1"/>
    </row>
  </sheetData>
  <mergeCells count="76">
    <mergeCell ref="A2:C2"/>
    <mergeCell ref="D2:H2"/>
    <mergeCell ref="I2:P2"/>
    <mergeCell ref="C3:D3"/>
    <mergeCell ref="E3:G3"/>
    <mergeCell ref="H3:I3"/>
    <mergeCell ref="L3:P3"/>
    <mergeCell ref="C4:D4"/>
    <mergeCell ref="E4:G4"/>
    <mergeCell ref="H4:I4"/>
    <mergeCell ref="L4:P4"/>
    <mergeCell ref="A5:P5"/>
    <mergeCell ref="C6:D6"/>
    <mergeCell ref="E6:G6"/>
    <mergeCell ref="H6:I6"/>
    <mergeCell ref="L6:P6"/>
    <mergeCell ref="C7:D7"/>
    <mergeCell ref="E7:G7"/>
    <mergeCell ref="H7:I7"/>
    <mergeCell ref="L7:P7"/>
    <mergeCell ref="C8:D8"/>
    <mergeCell ref="E8:G8"/>
    <mergeCell ref="H8:I8"/>
    <mergeCell ref="L8:P8"/>
    <mergeCell ref="C9:D9"/>
    <mergeCell ref="E9:G9"/>
    <mergeCell ref="H9:I9"/>
    <mergeCell ref="L9:P9"/>
    <mergeCell ref="C10:D10"/>
    <mergeCell ref="E10:G10"/>
    <mergeCell ref="H10:I10"/>
    <mergeCell ref="L10:P10"/>
    <mergeCell ref="C11:D11"/>
    <mergeCell ref="E11:G11"/>
    <mergeCell ref="H11:I11"/>
    <mergeCell ref="L11:P11"/>
    <mergeCell ref="C12:D12"/>
    <mergeCell ref="E12:G12"/>
    <mergeCell ref="H12:I12"/>
    <mergeCell ref="L12:P12"/>
    <mergeCell ref="C13:D13"/>
    <mergeCell ref="E13:G13"/>
    <mergeCell ref="H13:I13"/>
    <mergeCell ref="L13:P13"/>
    <mergeCell ref="C14:D14"/>
    <mergeCell ref="E14:G14"/>
    <mergeCell ref="H14:I14"/>
    <mergeCell ref="L14:P14"/>
    <mergeCell ref="C15:D15"/>
    <mergeCell ref="E15:G15"/>
    <mergeCell ref="H15:I15"/>
    <mergeCell ref="L15:P15"/>
    <mergeCell ref="A20:F20"/>
    <mergeCell ref="H20:I20"/>
    <mergeCell ref="L20:P20"/>
    <mergeCell ref="A16:F16"/>
    <mergeCell ref="H16:I16"/>
    <mergeCell ref="L16:P16"/>
    <mergeCell ref="A17:D17"/>
    <mergeCell ref="E17:G17"/>
    <mergeCell ref="H17:I17"/>
    <mergeCell ref="L17:P17"/>
    <mergeCell ref="A23:D23"/>
    <mergeCell ref="E23:G23"/>
    <mergeCell ref="H23:I23"/>
    <mergeCell ref="L23:P23"/>
    <mergeCell ref="A1:O1"/>
    <mergeCell ref="A22:G22"/>
    <mergeCell ref="H22:I22"/>
    <mergeCell ref="L22:P22"/>
    <mergeCell ref="A21:D21"/>
    <mergeCell ref="E21:G21"/>
    <mergeCell ref="H21:I21"/>
    <mergeCell ref="L21:P21"/>
    <mergeCell ref="A18:P18"/>
    <mergeCell ref="A19:P19"/>
  </mergeCells>
  <printOptions/>
  <pageMargins left="0.7874015748031497" right="0.7874015748031497" top="1.2598425196850394" bottom="0.984251968503937" header="0.5118110236220472" footer="0.5118110236220472"/>
  <pageSetup horizontalDpi="600" verticalDpi="600" orientation="portrait" paperSize="9" r:id="rId1"/>
  <headerFooter alignWithMargins="0">
    <oddHeader>&amp;R&amp;"Arial,Pogrubiony"Załącznik Nr 1&amp;"Arial,Normalny"
do Uchwały Nr XXVII/169/2012
Rady Gminy Miłkowice
z dnia 18 grudnia 2012r.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85"/>
  <sheetViews>
    <sheetView showGridLines="0" zoomScale="150" zoomScaleNormal="150" workbookViewId="0" topLeftCell="B1">
      <selection activeCell="D70" sqref="D70:E73"/>
    </sheetView>
  </sheetViews>
  <sheetFormatPr defaultColWidth="9.33203125" defaultRowHeight="12.75"/>
  <cols>
    <col min="1" max="1" width="3" style="0" customWidth="1"/>
    <col min="2" max="2" width="1.171875" style="0" customWidth="1"/>
    <col min="3" max="3" width="5.83203125" style="0" customWidth="1"/>
    <col min="4" max="4" width="12.16015625" style="0" customWidth="1"/>
    <col min="5" max="5" width="14.16015625" style="0" customWidth="1"/>
    <col min="6" max="6" width="8.16015625" style="0" customWidth="1"/>
    <col min="7" max="7" width="7" style="0" customWidth="1"/>
    <col min="8" max="8" width="4.5" style="0" customWidth="1"/>
    <col min="9" max="9" width="11" style="0" customWidth="1"/>
    <col min="10" max="10" width="10.16015625" style="0" customWidth="1"/>
    <col min="11" max="12" width="9.5" style="0" customWidth="1"/>
    <col min="13" max="17" width="8.83203125" style="0" customWidth="1"/>
    <col min="18" max="18" width="11" style="0" customWidth="1"/>
    <col min="19" max="19" width="9.5" style="0" customWidth="1"/>
    <col min="20" max="20" width="1.83203125" style="0" customWidth="1"/>
    <col min="21" max="21" width="7.66015625" style="0" customWidth="1"/>
    <col min="22" max="22" width="8.33203125" style="0" customWidth="1"/>
    <col min="23" max="23" width="0.4921875" style="0" customWidth="1"/>
  </cols>
  <sheetData>
    <row r="1" spans="1:23" s="13" customFormat="1" ht="17.25" customHeight="1">
      <c r="A1" s="409" t="s">
        <v>56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</row>
    <row r="2" spans="2:24" ht="6.75" customHeight="1">
      <c r="B2" s="427"/>
      <c r="C2" s="427"/>
      <c r="D2" s="427"/>
      <c r="E2" s="419"/>
      <c r="F2" s="419"/>
      <c r="G2" s="419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14"/>
    </row>
    <row r="3" spans="1:24" ht="9" customHeight="1">
      <c r="A3" s="426" t="s">
        <v>0</v>
      </c>
      <c r="B3" s="426"/>
      <c r="C3" s="426" t="s">
        <v>1</v>
      </c>
      <c r="D3" s="426" t="s">
        <v>3</v>
      </c>
      <c r="E3" s="426"/>
      <c r="F3" s="426"/>
      <c r="G3" s="426" t="s">
        <v>57</v>
      </c>
      <c r="H3" s="426"/>
      <c r="I3" s="426" t="s">
        <v>58</v>
      </c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14"/>
    </row>
    <row r="4" spans="1:24" ht="12.75" customHeight="1">
      <c r="A4" s="426"/>
      <c r="B4" s="426"/>
      <c r="C4" s="426"/>
      <c r="D4" s="426"/>
      <c r="E4" s="426"/>
      <c r="F4" s="426"/>
      <c r="G4" s="426"/>
      <c r="H4" s="426"/>
      <c r="I4" s="426" t="s">
        <v>59</v>
      </c>
      <c r="J4" s="426" t="s">
        <v>60</v>
      </c>
      <c r="K4" s="426"/>
      <c r="L4" s="426"/>
      <c r="M4" s="426"/>
      <c r="N4" s="426"/>
      <c r="O4" s="426"/>
      <c r="P4" s="426"/>
      <c r="Q4" s="426"/>
      <c r="R4" s="426" t="s">
        <v>61</v>
      </c>
      <c r="S4" s="426" t="s">
        <v>60</v>
      </c>
      <c r="T4" s="426"/>
      <c r="U4" s="426"/>
      <c r="V4" s="426"/>
      <c r="W4" s="426"/>
      <c r="X4" s="14"/>
    </row>
    <row r="5" spans="1:24" ht="2.25" customHeight="1">
      <c r="A5" s="426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 t="s">
        <v>62</v>
      </c>
      <c r="T5" s="426" t="s">
        <v>63</v>
      </c>
      <c r="U5" s="426"/>
      <c r="V5" s="426" t="s">
        <v>64</v>
      </c>
      <c r="W5" s="426"/>
      <c r="X5" s="14"/>
    </row>
    <row r="6" spans="1:24" ht="6" customHeight="1">
      <c r="A6" s="426"/>
      <c r="B6" s="426"/>
      <c r="C6" s="426"/>
      <c r="D6" s="426"/>
      <c r="E6" s="426"/>
      <c r="F6" s="426"/>
      <c r="G6" s="426"/>
      <c r="H6" s="426"/>
      <c r="I6" s="426"/>
      <c r="J6" s="426" t="s">
        <v>65</v>
      </c>
      <c r="K6" s="426" t="s">
        <v>60</v>
      </c>
      <c r="L6" s="426"/>
      <c r="M6" s="426" t="s">
        <v>66</v>
      </c>
      <c r="N6" s="426" t="s">
        <v>67</v>
      </c>
      <c r="O6" s="426" t="s">
        <v>68</v>
      </c>
      <c r="P6" s="426" t="s">
        <v>69</v>
      </c>
      <c r="Q6" s="426" t="s">
        <v>70</v>
      </c>
      <c r="R6" s="426"/>
      <c r="S6" s="426"/>
      <c r="T6" s="426"/>
      <c r="U6" s="426"/>
      <c r="V6" s="426"/>
      <c r="W6" s="426"/>
      <c r="X6" s="14"/>
    </row>
    <row r="7" spans="1:24" ht="2.25" customHeight="1">
      <c r="A7" s="426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 t="s">
        <v>71</v>
      </c>
      <c r="U7" s="426"/>
      <c r="V7" s="426"/>
      <c r="W7" s="426"/>
      <c r="X7" s="14"/>
    </row>
    <row r="8" spans="1:24" ht="44.25" customHeight="1">
      <c r="A8" s="426"/>
      <c r="B8" s="426"/>
      <c r="C8" s="426"/>
      <c r="D8" s="426"/>
      <c r="E8" s="426"/>
      <c r="F8" s="426"/>
      <c r="G8" s="426"/>
      <c r="H8" s="426"/>
      <c r="I8" s="426"/>
      <c r="J8" s="426"/>
      <c r="K8" s="15" t="s">
        <v>72</v>
      </c>
      <c r="L8" s="15" t="s">
        <v>73</v>
      </c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14"/>
    </row>
    <row r="9" spans="1:24" s="18" customFormat="1" ht="9" customHeight="1">
      <c r="A9" s="420">
        <v>1</v>
      </c>
      <c r="B9" s="420"/>
      <c r="C9" s="16">
        <v>2</v>
      </c>
      <c r="D9" s="420">
        <v>3</v>
      </c>
      <c r="E9" s="420"/>
      <c r="F9" s="420"/>
      <c r="G9" s="420">
        <v>4</v>
      </c>
      <c r="H9" s="420"/>
      <c r="I9" s="16">
        <v>5</v>
      </c>
      <c r="J9" s="16">
        <v>6</v>
      </c>
      <c r="K9" s="16">
        <v>7</v>
      </c>
      <c r="L9" s="16">
        <v>8</v>
      </c>
      <c r="M9" s="16">
        <v>9</v>
      </c>
      <c r="N9" s="16">
        <v>10</v>
      </c>
      <c r="O9" s="16">
        <v>11</v>
      </c>
      <c r="P9" s="16">
        <v>12</v>
      </c>
      <c r="Q9" s="16">
        <v>13</v>
      </c>
      <c r="R9" s="16">
        <v>14</v>
      </c>
      <c r="S9" s="16">
        <v>15</v>
      </c>
      <c r="T9" s="420">
        <v>16</v>
      </c>
      <c r="U9" s="420"/>
      <c r="V9" s="420">
        <v>17</v>
      </c>
      <c r="W9" s="420"/>
      <c r="X9" s="17"/>
    </row>
    <row r="10" spans="1:24" ht="9" customHeight="1">
      <c r="A10" s="426">
        <v>600</v>
      </c>
      <c r="B10" s="426"/>
      <c r="C10" s="426"/>
      <c r="D10" s="421" t="s">
        <v>74</v>
      </c>
      <c r="E10" s="421"/>
      <c r="F10" s="19" t="s">
        <v>75</v>
      </c>
      <c r="G10" s="422">
        <v>490372.41</v>
      </c>
      <c r="H10" s="422"/>
      <c r="I10" s="20">
        <v>254691.41</v>
      </c>
      <c r="J10" s="20">
        <v>123691.41</v>
      </c>
      <c r="K10" s="20">
        <v>2015</v>
      </c>
      <c r="L10" s="20">
        <v>121676.41</v>
      </c>
      <c r="M10" s="20">
        <v>131000</v>
      </c>
      <c r="N10" s="20"/>
      <c r="O10" s="20"/>
      <c r="P10" s="20"/>
      <c r="Q10" s="20"/>
      <c r="R10" s="20">
        <v>235681</v>
      </c>
      <c r="S10" s="20">
        <v>235681</v>
      </c>
      <c r="T10" s="422"/>
      <c r="U10" s="422"/>
      <c r="V10" s="422"/>
      <c r="W10" s="422"/>
      <c r="X10" s="14"/>
    </row>
    <row r="11" spans="1:24" ht="9" customHeight="1">
      <c r="A11" s="426"/>
      <c r="B11" s="426"/>
      <c r="C11" s="426"/>
      <c r="D11" s="421"/>
      <c r="E11" s="421"/>
      <c r="F11" s="19" t="s">
        <v>76</v>
      </c>
      <c r="G11" s="422"/>
      <c r="H11" s="422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422"/>
      <c r="U11" s="422"/>
      <c r="V11" s="422"/>
      <c r="W11" s="422"/>
      <c r="X11" s="14"/>
    </row>
    <row r="12" spans="1:24" ht="9" customHeight="1">
      <c r="A12" s="426"/>
      <c r="B12" s="426"/>
      <c r="C12" s="426"/>
      <c r="D12" s="421"/>
      <c r="E12" s="421"/>
      <c r="F12" s="19" t="s">
        <v>77</v>
      </c>
      <c r="G12" s="422">
        <v>7000</v>
      </c>
      <c r="H12" s="422"/>
      <c r="I12" s="20">
        <v>7000</v>
      </c>
      <c r="J12" s="20"/>
      <c r="K12" s="20"/>
      <c r="L12" s="20"/>
      <c r="M12" s="20">
        <v>7000</v>
      </c>
      <c r="N12" s="20"/>
      <c r="O12" s="20"/>
      <c r="P12" s="20"/>
      <c r="Q12" s="20"/>
      <c r="R12" s="20"/>
      <c r="S12" s="20"/>
      <c r="T12" s="422"/>
      <c r="U12" s="422"/>
      <c r="V12" s="422"/>
      <c r="W12" s="422"/>
      <c r="X12" s="14"/>
    </row>
    <row r="13" spans="1:24" ht="9" customHeight="1" thickBot="1">
      <c r="A13" s="426"/>
      <c r="B13" s="426"/>
      <c r="C13" s="426"/>
      <c r="D13" s="421"/>
      <c r="E13" s="421"/>
      <c r="F13" s="19" t="s">
        <v>78</v>
      </c>
      <c r="G13" s="422">
        <v>497372.41</v>
      </c>
      <c r="H13" s="422"/>
      <c r="I13" s="20">
        <v>261691.41</v>
      </c>
      <c r="J13" s="20">
        <v>123691.41</v>
      </c>
      <c r="K13" s="20">
        <v>2015</v>
      </c>
      <c r="L13" s="20">
        <v>121676.41</v>
      </c>
      <c r="M13" s="20">
        <v>138000</v>
      </c>
      <c r="N13" s="20"/>
      <c r="O13" s="20"/>
      <c r="P13" s="20"/>
      <c r="Q13" s="20"/>
      <c r="R13" s="20">
        <v>235681</v>
      </c>
      <c r="S13" s="20">
        <v>235681</v>
      </c>
      <c r="T13" s="422"/>
      <c r="U13" s="422"/>
      <c r="V13" s="422"/>
      <c r="W13" s="422"/>
      <c r="X13" s="14"/>
    </row>
    <row r="14" spans="1:24" ht="9" customHeight="1" thickBot="1">
      <c r="A14" s="423"/>
      <c r="B14" s="423"/>
      <c r="C14" s="423">
        <v>60016</v>
      </c>
      <c r="D14" s="424" t="s">
        <v>79</v>
      </c>
      <c r="E14" s="424"/>
      <c r="F14" s="21" t="s">
        <v>75</v>
      </c>
      <c r="G14" s="425">
        <v>188614</v>
      </c>
      <c r="H14" s="425"/>
      <c r="I14" s="22">
        <v>157933</v>
      </c>
      <c r="J14" s="22">
        <v>76933</v>
      </c>
      <c r="K14" s="22"/>
      <c r="L14" s="22">
        <v>76933</v>
      </c>
      <c r="M14" s="22">
        <v>81000</v>
      </c>
      <c r="N14" s="22"/>
      <c r="O14" s="22"/>
      <c r="P14" s="22"/>
      <c r="Q14" s="22"/>
      <c r="R14" s="22">
        <v>30681</v>
      </c>
      <c r="S14" s="22">
        <v>30681</v>
      </c>
      <c r="T14" s="425"/>
      <c r="U14" s="425"/>
      <c r="V14" s="425"/>
      <c r="W14" s="425"/>
      <c r="X14" s="14"/>
    </row>
    <row r="15" spans="1:24" ht="9" customHeight="1" thickBot="1">
      <c r="A15" s="423"/>
      <c r="B15" s="423"/>
      <c r="C15" s="423"/>
      <c r="D15" s="424"/>
      <c r="E15" s="424"/>
      <c r="F15" s="19" t="s">
        <v>76</v>
      </c>
      <c r="G15" s="422"/>
      <c r="H15" s="42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422"/>
      <c r="U15" s="422"/>
      <c r="V15" s="422"/>
      <c r="W15" s="422"/>
      <c r="X15" s="14"/>
    </row>
    <row r="16" spans="1:24" ht="9" customHeight="1" thickBot="1">
      <c r="A16" s="423"/>
      <c r="B16" s="423"/>
      <c r="C16" s="423"/>
      <c r="D16" s="424"/>
      <c r="E16" s="424"/>
      <c r="F16" s="19" t="s">
        <v>77</v>
      </c>
      <c r="G16" s="422">
        <v>7000</v>
      </c>
      <c r="H16" s="422"/>
      <c r="I16" s="20">
        <v>7000</v>
      </c>
      <c r="J16" s="20"/>
      <c r="K16" s="20"/>
      <c r="L16" s="20"/>
      <c r="M16" s="20">
        <v>7000</v>
      </c>
      <c r="N16" s="20"/>
      <c r="O16" s="20"/>
      <c r="P16" s="20"/>
      <c r="Q16" s="20"/>
      <c r="R16" s="20"/>
      <c r="S16" s="20"/>
      <c r="T16" s="422"/>
      <c r="U16" s="422"/>
      <c r="V16" s="422"/>
      <c r="W16" s="422"/>
      <c r="X16" s="14"/>
    </row>
    <row r="17" spans="1:24" ht="9" customHeight="1">
      <c r="A17" s="423"/>
      <c r="B17" s="423"/>
      <c r="C17" s="423"/>
      <c r="D17" s="424"/>
      <c r="E17" s="424"/>
      <c r="F17" s="19" t="s">
        <v>78</v>
      </c>
      <c r="G17" s="422">
        <v>195614</v>
      </c>
      <c r="H17" s="422"/>
      <c r="I17" s="20">
        <v>164933</v>
      </c>
      <c r="J17" s="20">
        <v>76933</v>
      </c>
      <c r="K17" s="20"/>
      <c r="L17" s="20">
        <v>76933</v>
      </c>
      <c r="M17" s="20">
        <v>88000</v>
      </c>
      <c r="N17" s="20"/>
      <c r="O17" s="20"/>
      <c r="P17" s="20"/>
      <c r="Q17" s="20"/>
      <c r="R17" s="20">
        <v>30681</v>
      </c>
      <c r="S17" s="20">
        <v>30681</v>
      </c>
      <c r="T17" s="422"/>
      <c r="U17" s="422"/>
      <c r="V17" s="422"/>
      <c r="W17" s="422"/>
      <c r="X17" s="14"/>
    </row>
    <row r="18" spans="1:24" ht="9" customHeight="1">
      <c r="A18" s="426">
        <v>700</v>
      </c>
      <c r="B18" s="426"/>
      <c r="C18" s="426"/>
      <c r="D18" s="421" t="s">
        <v>80</v>
      </c>
      <c r="E18" s="421"/>
      <c r="F18" s="19" t="s">
        <v>75</v>
      </c>
      <c r="G18" s="422">
        <v>201151.54</v>
      </c>
      <c r="H18" s="422"/>
      <c r="I18" s="20">
        <v>195151.54</v>
      </c>
      <c r="J18" s="20">
        <v>120151.54</v>
      </c>
      <c r="K18" s="20"/>
      <c r="L18" s="20">
        <v>120151.54</v>
      </c>
      <c r="M18" s="20">
        <v>75000</v>
      </c>
      <c r="N18" s="20"/>
      <c r="O18" s="20"/>
      <c r="P18" s="20"/>
      <c r="Q18" s="20"/>
      <c r="R18" s="20">
        <v>6000</v>
      </c>
      <c r="S18" s="20">
        <v>6000</v>
      </c>
      <c r="T18" s="422"/>
      <c r="U18" s="422"/>
      <c r="V18" s="422"/>
      <c r="W18" s="422"/>
      <c r="X18" s="14"/>
    </row>
    <row r="19" spans="1:24" ht="9" customHeight="1">
      <c r="A19" s="426"/>
      <c r="B19" s="426"/>
      <c r="C19" s="426"/>
      <c r="D19" s="421"/>
      <c r="E19" s="421"/>
      <c r="F19" s="19" t="s">
        <v>76</v>
      </c>
      <c r="G19" s="422">
        <v>-4000</v>
      </c>
      <c r="H19" s="422"/>
      <c r="I19" s="20">
        <v>-4000</v>
      </c>
      <c r="J19" s="20">
        <v>-4000</v>
      </c>
      <c r="K19" s="20"/>
      <c r="L19" s="20">
        <v>-4000</v>
      </c>
      <c r="M19" s="20"/>
      <c r="N19" s="20"/>
      <c r="O19" s="20"/>
      <c r="P19" s="20"/>
      <c r="Q19" s="20"/>
      <c r="R19" s="20"/>
      <c r="S19" s="20"/>
      <c r="T19" s="422"/>
      <c r="U19" s="422"/>
      <c r="V19" s="422"/>
      <c r="W19" s="422"/>
      <c r="X19" s="14"/>
    </row>
    <row r="20" spans="1:24" ht="9" customHeight="1">
      <c r="A20" s="426"/>
      <c r="B20" s="426"/>
      <c r="C20" s="426"/>
      <c r="D20" s="421"/>
      <c r="E20" s="421"/>
      <c r="F20" s="19" t="s">
        <v>77</v>
      </c>
      <c r="G20" s="422"/>
      <c r="H20" s="422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422"/>
      <c r="U20" s="422"/>
      <c r="V20" s="422"/>
      <c r="W20" s="422"/>
      <c r="X20" s="14"/>
    </row>
    <row r="21" spans="1:24" ht="9" customHeight="1" thickBot="1">
      <c r="A21" s="426"/>
      <c r="B21" s="426"/>
      <c r="C21" s="426"/>
      <c r="D21" s="421"/>
      <c r="E21" s="421"/>
      <c r="F21" s="19" t="s">
        <v>78</v>
      </c>
      <c r="G21" s="422">
        <v>197151.54</v>
      </c>
      <c r="H21" s="422"/>
      <c r="I21" s="20">
        <v>191151.54</v>
      </c>
      <c r="J21" s="20">
        <v>116151.54</v>
      </c>
      <c r="K21" s="20"/>
      <c r="L21" s="20">
        <v>116151.54</v>
      </c>
      <c r="M21" s="20">
        <v>75000</v>
      </c>
      <c r="N21" s="20"/>
      <c r="O21" s="20"/>
      <c r="P21" s="20"/>
      <c r="Q21" s="20"/>
      <c r="R21" s="20">
        <v>6000</v>
      </c>
      <c r="S21" s="20">
        <v>6000</v>
      </c>
      <c r="T21" s="422"/>
      <c r="U21" s="422"/>
      <c r="V21" s="422"/>
      <c r="W21" s="422"/>
      <c r="X21" s="14"/>
    </row>
    <row r="22" spans="1:24" ht="9" customHeight="1" thickBot="1">
      <c r="A22" s="423"/>
      <c r="B22" s="423"/>
      <c r="C22" s="423">
        <v>70005</v>
      </c>
      <c r="D22" s="424" t="s">
        <v>81</v>
      </c>
      <c r="E22" s="424"/>
      <c r="F22" s="21" t="s">
        <v>75</v>
      </c>
      <c r="G22" s="425">
        <v>113151.54</v>
      </c>
      <c r="H22" s="425"/>
      <c r="I22" s="22">
        <v>107151.54</v>
      </c>
      <c r="J22" s="22">
        <v>107151.54</v>
      </c>
      <c r="K22" s="22"/>
      <c r="L22" s="22">
        <v>107151.54</v>
      </c>
      <c r="M22" s="22"/>
      <c r="N22" s="22"/>
      <c r="O22" s="22"/>
      <c r="P22" s="22"/>
      <c r="Q22" s="22"/>
      <c r="R22" s="22">
        <v>6000</v>
      </c>
      <c r="S22" s="22">
        <v>6000</v>
      </c>
      <c r="T22" s="425"/>
      <c r="U22" s="425"/>
      <c r="V22" s="425"/>
      <c r="W22" s="425"/>
      <c r="X22" s="14"/>
    </row>
    <row r="23" spans="1:24" ht="9" customHeight="1" thickBot="1">
      <c r="A23" s="423"/>
      <c r="B23" s="423"/>
      <c r="C23" s="423"/>
      <c r="D23" s="424"/>
      <c r="E23" s="424"/>
      <c r="F23" s="19" t="s">
        <v>76</v>
      </c>
      <c r="G23" s="422">
        <v>-4000</v>
      </c>
      <c r="H23" s="422"/>
      <c r="I23" s="20">
        <v>-4000</v>
      </c>
      <c r="J23" s="20">
        <v>-4000</v>
      </c>
      <c r="K23" s="20"/>
      <c r="L23" s="20">
        <v>-4000</v>
      </c>
      <c r="M23" s="20"/>
      <c r="N23" s="20"/>
      <c r="O23" s="20"/>
      <c r="P23" s="20"/>
      <c r="Q23" s="20"/>
      <c r="R23" s="20"/>
      <c r="S23" s="20"/>
      <c r="T23" s="422"/>
      <c r="U23" s="422"/>
      <c r="V23" s="422"/>
      <c r="W23" s="422"/>
      <c r="X23" s="14"/>
    </row>
    <row r="24" spans="1:24" ht="9" customHeight="1" thickBot="1">
      <c r="A24" s="423"/>
      <c r="B24" s="423"/>
      <c r="C24" s="423"/>
      <c r="D24" s="424"/>
      <c r="E24" s="424"/>
      <c r="F24" s="19" t="s">
        <v>77</v>
      </c>
      <c r="G24" s="422"/>
      <c r="H24" s="422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422"/>
      <c r="U24" s="422"/>
      <c r="V24" s="422"/>
      <c r="W24" s="422"/>
      <c r="X24" s="14"/>
    </row>
    <row r="25" spans="1:24" ht="9" customHeight="1">
      <c r="A25" s="423"/>
      <c r="B25" s="423"/>
      <c r="C25" s="423"/>
      <c r="D25" s="424"/>
      <c r="E25" s="424"/>
      <c r="F25" s="19" t="s">
        <v>78</v>
      </c>
      <c r="G25" s="422">
        <v>109151.54</v>
      </c>
      <c r="H25" s="422"/>
      <c r="I25" s="20">
        <v>103151.54</v>
      </c>
      <c r="J25" s="20">
        <v>103151.54</v>
      </c>
      <c r="K25" s="20"/>
      <c r="L25" s="20">
        <v>103151.54</v>
      </c>
      <c r="M25" s="20"/>
      <c r="N25" s="20"/>
      <c r="O25" s="20"/>
      <c r="P25" s="20"/>
      <c r="Q25" s="20"/>
      <c r="R25" s="20">
        <v>6000</v>
      </c>
      <c r="S25" s="20">
        <v>6000</v>
      </c>
      <c r="T25" s="422"/>
      <c r="U25" s="422"/>
      <c r="V25" s="422"/>
      <c r="W25" s="422"/>
      <c r="X25" s="14"/>
    </row>
    <row r="26" spans="1:24" ht="9" customHeight="1">
      <c r="A26" s="426">
        <v>750</v>
      </c>
      <c r="B26" s="426"/>
      <c r="C26" s="426"/>
      <c r="D26" s="421" t="s">
        <v>82</v>
      </c>
      <c r="E26" s="421"/>
      <c r="F26" s="19" t="s">
        <v>75</v>
      </c>
      <c r="G26" s="422">
        <v>2046410.41</v>
      </c>
      <c r="H26" s="422"/>
      <c r="I26" s="20">
        <v>2026410.41</v>
      </c>
      <c r="J26" s="20">
        <v>1948705.41</v>
      </c>
      <c r="K26" s="20">
        <v>1516752</v>
      </c>
      <c r="L26" s="20">
        <v>431953.41</v>
      </c>
      <c r="M26" s="20"/>
      <c r="N26" s="20">
        <v>77705</v>
      </c>
      <c r="O26" s="20"/>
      <c r="P26" s="20"/>
      <c r="Q26" s="20"/>
      <c r="R26" s="20">
        <v>20000</v>
      </c>
      <c r="S26" s="20">
        <v>20000</v>
      </c>
      <c r="T26" s="422"/>
      <c r="U26" s="422"/>
      <c r="V26" s="422"/>
      <c r="W26" s="422"/>
      <c r="X26" s="14"/>
    </row>
    <row r="27" spans="1:24" ht="9" customHeight="1">
      <c r="A27" s="426"/>
      <c r="B27" s="426"/>
      <c r="C27" s="426"/>
      <c r="D27" s="421"/>
      <c r="E27" s="421"/>
      <c r="F27" s="19" t="s">
        <v>76</v>
      </c>
      <c r="G27" s="422">
        <v>-465.3</v>
      </c>
      <c r="H27" s="422"/>
      <c r="I27" s="20">
        <v>-465.3</v>
      </c>
      <c r="J27" s="20">
        <v>-465.3</v>
      </c>
      <c r="K27" s="20"/>
      <c r="L27" s="20">
        <v>-465.3</v>
      </c>
      <c r="M27" s="20"/>
      <c r="N27" s="20"/>
      <c r="O27" s="20"/>
      <c r="P27" s="20"/>
      <c r="Q27" s="20"/>
      <c r="R27" s="20"/>
      <c r="S27" s="20"/>
      <c r="T27" s="422"/>
      <c r="U27" s="422"/>
      <c r="V27" s="422"/>
      <c r="W27" s="422"/>
      <c r="X27" s="14"/>
    </row>
    <row r="28" spans="1:24" ht="9" customHeight="1">
      <c r="A28" s="426"/>
      <c r="B28" s="426"/>
      <c r="C28" s="426"/>
      <c r="D28" s="421"/>
      <c r="E28" s="421"/>
      <c r="F28" s="19" t="s">
        <v>77</v>
      </c>
      <c r="G28" s="422">
        <v>34693.3</v>
      </c>
      <c r="H28" s="422"/>
      <c r="I28" s="20">
        <v>34693.3</v>
      </c>
      <c r="J28" s="20">
        <v>34693.3</v>
      </c>
      <c r="K28" s="20"/>
      <c r="L28" s="20">
        <v>34693.3</v>
      </c>
      <c r="M28" s="20"/>
      <c r="N28" s="20"/>
      <c r="O28" s="20"/>
      <c r="P28" s="20"/>
      <c r="Q28" s="20"/>
      <c r="R28" s="20"/>
      <c r="S28" s="20"/>
      <c r="T28" s="422"/>
      <c r="U28" s="422"/>
      <c r="V28" s="422"/>
      <c r="W28" s="422"/>
      <c r="X28" s="14"/>
    </row>
    <row r="29" spans="1:24" ht="9" customHeight="1" thickBot="1">
      <c r="A29" s="426"/>
      <c r="B29" s="426"/>
      <c r="C29" s="426"/>
      <c r="D29" s="421"/>
      <c r="E29" s="421"/>
      <c r="F29" s="19" t="s">
        <v>78</v>
      </c>
      <c r="G29" s="422">
        <v>2080638.41</v>
      </c>
      <c r="H29" s="422"/>
      <c r="I29" s="20">
        <v>2060638.41</v>
      </c>
      <c r="J29" s="20">
        <v>1982933.41</v>
      </c>
      <c r="K29" s="20">
        <v>1516752</v>
      </c>
      <c r="L29" s="20">
        <v>466181.41</v>
      </c>
      <c r="M29" s="20"/>
      <c r="N29" s="20">
        <v>77705</v>
      </c>
      <c r="O29" s="20"/>
      <c r="P29" s="20"/>
      <c r="Q29" s="20"/>
      <c r="R29" s="20">
        <v>20000</v>
      </c>
      <c r="S29" s="20">
        <v>20000</v>
      </c>
      <c r="T29" s="422"/>
      <c r="U29" s="422"/>
      <c r="V29" s="422"/>
      <c r="W29" s="422"/>
      <c r="X29" s="14"/>
    </row>
    <row r="30" spans="1:24" ht="9" customHeight="1" thickBot="1">
      <c r="A30" s="423"/>
      <c r="B30" s="423"/>
      <c r="C30" s="423">
        <v>75023</v>
      </c>
      <c r="D30" s="424" t="s">
        <v>83</v>
      </c>
      <c r="E30" s="424"/>
      <c r="F30" s="21" t="s">
        <v>75</v>
      </c>
      <c r="G30" s="425">
        <v>1839685.41</v>
      </c>
      <c r="H30" s="425"/>
      <c r="I30" s="22">
        <v>1819685.41</v>
      </c>
      <c r="J30" s="22">
        <v>1818185.41</v>
      </c>
      <c r="K30" s="22">
        <v>1447133</v>
      </c>
      <c r="L30" s="22">
        <v>371052.41</v>
      </c>
      <c r="M30" s="22"/>
      <c r="N30" s="22">
        <v>1500</v>
      </c>
      <c r="O30" s="22"/>
      <c r="P30" s="22"/>
      <c r="Q30" s="22"/>
      <c r="R30" s="22">
        <v>20000</v>
      </c>
      <c r="S30" s="22">
        <v>20000</v>
      </c>
      <c r="T30" s="425"/>
      <c r="U30" s="425"/>
      <c r="V30" s="425"/>
      <c r="W30" s="425"/>
      <c r="X30" s="14"/>
    </row>
    <row r="31" spans="1:24" ht="9" customHeight="1" thickBot="1">
      <c r="A31" s="423"/>
      <c r="B31" s="423"/>
      <c r="C31" s="423"/>
      <c r="D31" s="424"/>
      <c r="E31" s="424"/>
      <c r="F31" s="19" t="s">
        <v>76</v>
      </c>
      <c r="G31" s="422">
        <v>-465.3</v>
      </c>
      <c r="H31" s="422"/>
      <c r="I31" s="20">
        <v>-465.3</v>
      </c>
      <c r="J31" s="20">
        <v>-465.3</v>
      </c>
      <c r="K31" s="20"/>
      <c r="L31" s="20">
        <v>-465.3</v>
      </c>
      <c r="M31" s="20"/>
      <c r="N31" s="20"/>
      <c r="O31" s="20"/>
      <c r="P31" s="20"/>
      <c r="Q31" s="20"/>
      <c r="R31" s="20"/>
      <c r="S31" s="20"/>
      <c r="T31" s="422"/>
      <c r="U31" s="422"/>
      <c r="V31" s="422"/>
      <c r="W31" s="422"/>
      <c r="X31" s="14"/>
    </row>
    <row r="32" spans="1:24" ht="9" customHeight="1" thickBot="1">
      <c r="A32" s="423"/>
      <c r="B32" s="423"/>
      <c r="C32" s="423"/>
      <c r="D32" s="424"/>
      <c r="E32" s="424"/>
      <c r="F32" s="19" t="s">
        <v>77</v>
      </c>
      <c r="G32" s="422">
        <v>34693.3</v>
      </c>
      <c r="H32" s="422"/>
      <c r="I32" s="20">
        <v>34693.3</v>
      </c>
      <c r="J32" s="20">
        <v>34693.3</v>
      </c>
      <c r="K32" s="20"/>
      <c r="L32" s="20">
        <v>34693.3</v>
      </c>
      <c r="M32" s="20"/>
      <c r="N32" s="20"/>
      <c r="O32" s="20"/>
      <c r="P32" s="20"/>
      <c r="Q32" s="20"/>
      <c r="R32" s="20"/>
      <c r="S32" s="20"/>
      <c r="T32" s="422"/>
      <c r="U32" s="422"/>
      <c r="V32" s="422"/>
      <c r="W32" s="422"/>
      <c r="X32" s="14"/>
    </row>
    <row r="33" spans="1:24" ht="9" customHeight="1">
      <c r="A33" s="423"/>
      <c r="B33" s="423"/>
      <c r="C33" s="423"/>
      <c r="D33" s="424"/>
      <c r="E33" s="424"/>
      <c r="F33" s="19" t="s">
        <v>78</v>
      </c>
      <c r="G33" s="422">
        <v>1873913.41</v>
      </c>
      <c r="H33" s="422"/>
      <c r="I33" s="20">
        <v>1853913.41</v>
      </c>
      <c r="J33" s="20">
        <v>1852413.41</v>
      </c>
      <c r="K33" s="20">
        <v>1447133</v>
      </c>
      <c r="L33" s="20">
        <v>405280.41</v>
      </c>
      <c r="M33" s="20"/>
      <c r="N33" s="20">
        <v>1500</v>
      </c>
      <c r="O33" s="20"/>
      <c r="P33" s="20"/>
      <c r="Q33" s="20"/>
      <c r="R33" s="20">
        <v>20000</v>
      </c>
      <c r="S33" s="20">
        <v>20000</v>
      </c>
      <c r="T33" s="422"/>
      <c r="U33" s="422"/>
      <c r="V33" s="422"/>
      <c r="W33" s="422"/>
      <c r="X33" s="14"/>
    </row>
    <row r="34" spans="1:24" ht="9" customHeight="1">
      <c r="A34" s="426">
        <v>754</v>
      </c>
      <c r="B34" s="426"/>
      <c r="C34" s="426"/>
      <c r="D34" s="421" t="s">
        <v>84</v>
      </c>
      <c r="E34" s="421"/>
      <c r="F34" s="19" t="s">
        <v>75</v>
      </c>
      <c r="G34" s="422">
        <v>254610.18</v>
      </c>
      <c r="H34" s="422"/>
      <c r="I34" s="20">
        <v>188080</v>
      </c>
      <c r="J34" s="20">
        <v>166080</v>
      </c>
      <c r="K34" s="20">
        <v>41121</v>
      </c>
      <c r="L34" s="20">
        <v>124959</v>
      </c>
      <c r="M34" s="20"/>
      <c r="N34" s="20">
        <v>22000</v>
      </c>
      <c r="O34" s="20"/>
      <c r="P34" s="20"/>
      <c r="Q34" s="20"/>
      <c r="R34" s="20">
        <v>66530.18</v>
      </c>
      <c r="S34" s="20">
        <v>66530.18</v>
      </c>
      <c r="T34" s="422"/>
      <c r="U34" s="422"/>
      <c r="V34" s="422"/>
      <c r="W34" s="422"/>
      <c r="X34" s="14"/>
    </row>
    <row r="35" spans="1:24" ht="9" customHeight="1">
      <c r="A35" s="426"/>
      <c r="B35" s="426"/>
      <c r="C35" s="426"/>
      <c r="D35" s="421"/>
      <c r="E35" s="421"/>
      <c r="F35" s="19" t="s">
        <v>76</v>
      </c>
      <c r="G35" s="422"/>
      <c r="H35" s="422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422"/>
      <c r="U35" s="422"/>
      <c r="V35" s="422"/>
      <c r="W35" s="422"/>
      <c r="X35" s="14"/>
    </row>
    <row r="36" spans="1:24" ht="9" customHeight="1">
      <c r="A36" s="426"/>
      <c r="B36" s="426"/>
      <c r="C36" s="426"/>
      <c r="D36" s="421"/>
      <c r="E36" s="421"/>
      <c r="F36" s="19" t="s">
        <v>77</v>
      </c>
      <c r="G36" s="422">
        <v>200</v>
      </c>
      <c r="H36" s="422"/>
      <c r="I36" s="20"/>
      <c r="J36" s="20"/>
      <c r="K36" s="20"/>
      <c r="L36" s="20"/>
      <c r="M36" s="20"/>
      <c r="N36" s="20"/>
      <c r="O36" s="20"/>
      <c r="P36" s="20"/>
      <c r="Q36" s="20"/>
      <c r="R36" s="20">
        <v>200</v>
      </c>
      <c r="S36" s="20">
        <v>200</v>
      </c>
      <c r="T36" s="422"/>
      <c r="U36" s="422"/>
      <c r="V36" s="422"/>
      <c r="W36" s="422"/>
      <c r="X36" s="14"/>
    </row>
    <row r="37" spans="1:24" ht="9" customHeight="1" thickBot="1">
      <c r="A37" s="426"/>
      <c r="B37" s="426"/>
      <c r="C37" s="426"/>
      <c r="D37" s="421"/>
      <c r="E37" s="421"/>
      <c r="F37" s="19" t="s">
        <v>78</v>
      </c>
      <c r="G37" s="422">
        <v>254810.18</v>
      </c>
      <c r="H37" s="422"/>
      <c r="I37" s="20">
        <v>188080</v>
      </c>
      <c r="J37" s="20">
        <v>166080</v>
      </c>
      <c r="K37" s="20">
        <v>41121</v>
      </c>
      <c r="L37" s="20">
        <v>124959</v>
      </c>
      <c r="M37" s="20"/>
      <c r="N37" s="20">
        <v>22000</v>
      </c>
      <c r="O37" s="20"/>
      <c r="P37" s="20"/>
      <c r="Q37" s="20"/>
      <c r="R37" s="20">
        <v>66730.18</v>
      </c>
      <c r="S37" s="20">
        <v>66730.18</v>
      </c>
      <c r="T37" s="422"/>
      <c r="U37" s="422"/>
      <c r="V37" s="422"/>
      <c r="W37" s="422"/>
      <c r="X37" s="14"/>
    </row>
    <row r="38" spans="1:24" ht="9" customHeight="1" thickBot="1">
      <c r="A38" s="423"/>
      <c r="B38" s="423"/>
      <c r="C38" s="423">
        <v>75412</v>
      </c>
      <c r="D38" s="424" t="s">
        <v>85</v>
      </c>
      <c r="E38" s="424"/>
      <c r="F38" s="21" t="s">
        <v>75</v>
      </c>
      <c r="G38" s="425">
        <v>223178.59</v>
      </c>
      <c r="H38" s="425"/>
      <c r="I38" s="22">
        <v>177406</v>
      </c>
      <c r="J38" s="22">
        <v>155406</v>
      </c>
      <c r="K38" s="22">
        <v>41121</v>
      </c>
      <c r="L38" s="22">
        <v>114285</v>
      </c>
      <c r="M38" s="22"/>
      <c r="N38" s="22">
        <v>22000</v>
      </c>
      <c r="O38" s="22"/>
      <c r="P38" s="22"/>
      <c r="Q38" s="22"/>
      <c r="R38" s="22">
        <v>45772.59</v>
      </c>
      <c r="S38" s="22">
        <v>45772.59</v>
      </c>
      <c r="T38" s="425"/>
      <c r="U38" s="425"/>
      <c r="V38" s="425"/>
      <c r="W38" s="425"/>
      <c r="X38" s="14"/>
    </row>
    <row r="39" spans="1:24" ht="9" customHeight="1" thickBot="1">
      <c r="A39" s="423"/>
      <c r="B39" s="423"/>
      <c r="C39" s="423"/>
      <c r="D39" s="424"/>
      <c r="E39" s="424"/>
      <c r="F39" s="19" t="s">
        <v>76</v>
      </c>
      <c r="G39" s="422"/>
      <c r="H39" s="42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422"/>
      <c r="U39" s="422"/>
      <c r="V39" s="422"/>
      <c r="W39" s="422"/>
      <c r="X39" s="14"/>
    </row>
    <row r="40" spans="1:24" ht="9" customHeight="1" thickBot="1">
      <c r="A40" s="423"/>
      <c r="B40" s="423"/>
      <c r="C40" s="423"/>
      <c r="D40" s="424"/>
      <c r="E40" s="424"/>
      <c r="F40" s="19" t="s">
        <v>77</v>
      </c>
      <c r="G40" s="422">
        <v>200</v>
      </c>
      <c r="H40" s="422"/>
      <c r="I40" s="20"/>
      <c r="J40" s="20"/>
      <c r="K40" s="20"/>
      <c r="L40" s="20"/>
      <c r="M40" s="20"/>
      <c r="N40" s="20"/>
      <c r="O40" s="20"/>
      <c r="P40" s="20"/>
      <c r="Q40" s="20"/>
      <c r="R40" s="20">
        <v>200</v>
      </c>
      <c r="S40" s="20">
        <v>200</v>
      </c>
      <c r="T40" s="422"/>
      <c r="U40" s="422"/>
      <c r="V40" s="422"/>
      <c r="W40" s="422"/>
      <c r="X40" s="14"/>
    </row>
    <row r="41" spans="1:24" ht="9" customHeight="1">
      <c r="A41" s="423"/>
      <c r="B41" s="423"/>
      <c r="C41" s="423"/>
      <c r="D41" s="424"/>
      <c r="E41" s="424"/>
      <c r="F41" s="19" t="s">
        <v>78</v>
      </c>
      <c r="G41" s="422">
        <v>223378.59</v>
      </c>
      <c r="H41" s="422"/>
      <c r="I41" s="20">
        <v>177406</v>
      </c>
      <c r="J41" s="20">
        <v>155406</v>
      </c>
      <c r="K41" s="20">
        <v>41121</v>
      </c>
      <c r="L41" s="20">
        <v>114285</v>
      </c>
      <c r="M41" s="20"/>
      <c r="N41" s="20">
        <v>22000</v>
      </c>
      <c r="O41" s="20"/>
      <c r="P41" s="20"/>
      <c r="Q41" s="20"/>
      <c r="R41" s="20">
        <v>45972.59</v>
      </c>
      <c r="S41" s="20">
        <v>45972.59</v>
      </c>
      <c r="T41" s="422"/>
      <c r="U41" s="422"/>
      <c r="V41" s="422"/>
      <c r="W41" s="422"/>
      <c r="X41" s="14"/>
    </row>
    <row r="42" spans="1:24" ht="9" customHeight="1">
      <c r="A42" s="426">
        <v>801</v>
      </c>
      <c r="B42" s="426"/>
      <c r="C42" s="426"/>
      <c r="D42" s="421" t="s">
        <v>86</v>
      </c>
      <c r="E42" s="421"/>
      <c r="F42" s="19" t="s">
        <v>75</v>
      </c>
      <c r="G42" s="422">
        <v>5321747.34</v>
      </c>
      <c r="H42" s="422"/>
      <c r="I42" s="20">
        <v>5276747.34</v>
      </c>
      <c r="J42" s="20">
        <v>4515435</v>
      </c>
      <c r="K42" s="20">
        <v>3750666</v>
      </c>
      <c r="L42" s="20">
        <v>764769</v>
      </c>
      <c r="M42" s="20">
        <v>486046.64</v>
      </c>
      <c r="N42" s="20">
        <v>211963</v>
      </c>
      <c r="O42" s="20">
        <v>63302.7</v>
      </c>
      <c r="P42" s="20"/>
      <c r="Q42" s="20"/>
      <c r="R42" s="20">
        <v>45000</v>
      </c>
      <c r="S42" s="20">
        <v>45000</v>
      </c>
      <c r="T42" s="422"/>
      <c r="U42" s="422"/>
      <c r="V42" s="422"/>
      <c r="W42" s="422"/>
      <c r="X42" s="14"/>
    </row>
    <row r="43" spans="1:24" ht="9" customHeight="1">
      <c r="A43" s="426"/>
      <c r="B43" s="426"/>
      <c r="C43" s="426"/>
      <c r="D43" s="421"/>
      <c r="E43" s="421"/>
      <c r="F43" s="19" t="s">
        <v>76</v>
      </c>
      <c r="G43" s="422">
        <v>-15661</v>
      </c>
      <c r="H43" s="422"/>
      <c r="I43" s="20">
        <v>-15661</v>
      </c>
      <c r="J43" s="20">
        <v>-15661</v>
      </c>
      <c r="K43" s="20">
        <v>-5236</v>
      </c>
      <c r="L43" s="20">
        <v>-10425</v>
      </c>
      <c r="M43" s="20"/>
      <c r="N43" s="20"/>
      <c r="O43" s="20"/>
      <c r="P43" s="20"/>
      <c r="Q43" s="20"/>
      <c r="R43" s="20"/>
      <c r="S43" s="20"/>
      <c r="T43" s="422"/>
      <c r="U43" s="422"/>
      <c r="V43" s="422"/>
      <c r="W43" s="422"/>
      <c r="X43" s="14"/>
    </row>
    <row r="44" spans="1:24" ht="9" customHeight="1">
      <c r="A44" s="426"/>
      <c r="B44" s="426"/>
      <c r="C44" s="426"/>
      <c r="D44" s="421"/>
      <c r="E44" s="421"/>
      <c r="F44" s="19" t="s">
        <v>77</v>
      </c>
      <c r="G44" s="422"/>
      <c r="H44" s="422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422"/>
      <c r="U44" s="422"/>
      <c r="V44" s="422"/>
      <c r="W44" s="422"/>
      <c r="X44" s="14"/>
    </row>
    <row r="45" spans="1:24" ht="9" customHeight="1" thickBot="1">
      <c r="A45" s="426"/>
      <c r="B45" s="426"/>
      <c r="C45" s="426"/>
      <c r="D45" s="421"/>
      <c r="E45" s="421"/>
      <c r="F45" s="19" t="s">
        <v>78</v>
      </c>
      <c r="G45" s="422">
        <v>5306086.34</v>
      </c>
      <c r="H45" s="422"/>
      <c r="I45" s="20">
        <v>5261086.34</v>
      </c>
      <c r="J45" s="20">
        <v>4499774</v>
      </c>
      <c r="K45" s="20">
        <v>3745430</v>
      </c>
      <c r="L45" s="20">
        <v>754344</v>
      </c>
      <c r="M45" s="20">
        <v>486046.64</v>
      </c>
      <c r="N45" s="20">
        <v>211963</v>
      </c>
      <c r="O45" s="20">
        <v>63302.7</v>
      </c>
      <c r="P45" s="20"/>
      <c r="Q45" s="20"/>
      <c r="R45" s="20">
        <v>45000</v>
      </c>
      <c r="S45" s="20">
        <v>45000</v>
      </c>
      <c r="T45" s="422"/>
      <c r="U45" s="422"/>
      <c r="V45" s="422"/>
      <c r="W45" s="422"/>
      <c r="X45" s="14"/>
    </row>
    <row r="46" spans="1:24" ht="9" customHeight="1" thickBot="1">
      <c r="A46" s="423"/>
      <c r="B46" s="423"/>
      <c r="C46" s="423">
        <v>80101</v>
      </c>
      <c r="D46" s="424" t="s">
        <v>87</v>
      </c>
      <c r="E46" s="424"/>
      <c r="F46" s="21" t="s">
        <v>75</v>
      </c>
      <c r="G46" s="425">
        <v>2733848.7</v>
      </c>
      <c r="H46" s="425"/>
      <c r="I46" s="22">
        <v>2688848.7</v>
      </c>
      <c r="J46" s="22">
        <v>2503555</v>
      </c>
      <c r="K46" s="22">
        <v>2173184</v>
      </c>
      <c r="L46" s="22">
        <v>330371</v>
      </c>
      <c r="M46" s="22"/>
      <c r="N46" s="22">
        <v>121991</v>
      </c>
      <c r="O46" s="22">
        <v>63302.7</v>
      </c>
      <c r="P46" s="22"/>
      <c r="Q46" s="22"/>
      <c r="R46" s="22">
        <v>45000</v>
      </c>
      <c r="S46" s="22">
        <v>45000</v>
      </c>
      <c r="T46" s="425"/>
      <c r="U46" s="425"/>
      <c r="V46" s="425"/>
      <c r="W46" s="425"/>
      <c r="X46" s="14"/>
    </row>
    <row r="47" spans="1:24" ht="9" customHeight="1" thickBot="1">
      <c r="A47" s="423"/>
      <c r="B47" s="423"/>
      <c r="C47" s="423"/>
      <c r="D47" s="424"/>
      <c r="E47" s="424"/>
      <c r="F47" s="19" t="s">
        <v>76</v>
      </c>
      <c r="G47" s="422">
        <v>-10425</v>
      </c>
      <c r="H47" s="422"/>
      <c r="I47" s="20">
        <v>-10425</v>
      </c>
      <c r="J47" s="20">
        <v>-10425</v>
      </c>
      <c r="K47" s="20"/>
      <c r="L47" s="20">
        <v>-10425</v>
      </c>
      <c r="M47" s="20"/>
      <c r="N47" s="20"/>
      <c r="O47" s="20"/>
      <c r="P47" s="20"/>
      <c r="Q47" s="20"/>
      <c r="R47" s="20"/>
      <c r="S47" s="20"/>
      <c r="T47" s="422"/>
      <c r="U47" s="422"/>
      <c r="V47" s="422"/>
      <c r="W47" s="422"/>
      <c r="X47" s="14"/>
    </row>
    <row r="48" spans="1:24" ht="9" customHeight="1" thickBot="1">
      <c r="A48" s="423"/>
      <c r="B48" s="423"/>
      <c r="C48" s="423"/>
      <c r="D48" s="424"/>
      <c r="E48" s="424"/>
      <c r="F48" s="19" t="s">
        <v>77</v>
      </c>
      <c r="G48" s="422"/>
      <c r="H48" s="422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422"/>
      <c r="U48" s="422"/>
      <c r="V48" s="422"/>
      <c r="W48" s="422"/>
      <c r="X48" s="14"/>
    </row>
    <row r="49" spans="1:24" ht="9" customHeight="1" thickBot="1">
      <c r="A49" s="423"/>
      <c r="B49" s="423"/>
      <c r="C49" s="423"/>
      <c r="D49" s="424"/>
      <c r="E49" s="424"/>
      <c r="F49" s="19" t="s">
        <v>78</v>
      </c>
      <c r="G49" s="422">
        <v>2723423.7</v>
      </c>
      <c r="H49" s="422"/>
      <c r="I49" s="20">
        <v>2678423.7</v>
      </c>
      <c r="J49" s="20">
        <v>2493130</v>
      </c>
      <c r="K49" s="20">
        <v>2173184</v>
      </c>
      <c r="L49" s="20">
        <v>319946</v>
      </c>
      <c r="M49" s="20"/>
      <c r="N49" s="20">
        <v>121991</v>
      </c>
      <c r="O49" s="20">
        <v>63302.7</v>
      </c>
      <c r="P49" s="20"/>
      <c r="Q49" s="20"/>
      <c r="R49" s="20">
        <v>45000</v>
      </c>
      <c r="S49" s="20">
        <v>45000</v>
      </c>
      <c r="T49" s="422"/>
      <c r="U49" s="422"/>
      <c r="V49" s="422"/>
      <c r="W49" s="422"/>
      <c r="X49" s="14"/>
    </row>
    <row r="50" spans="1:24" ht="9" customHeight="1" thickBot="1">
      <c r="A50" s="423"/>
      <c r="B50" s="423"/>
      <c r="C50" s="423">
        <v>80113</v>
      </c>
      <c r="D50" s="424" t="s">
        <v>88</v>
      </c>
      <c r="E50" s="424"/>
      <c r="F50" s="21" t="s">
        <v>75</v>
      </c>
      <c r="G50" s="425">
        <v>289336</v>
      </c>
      <c r="H50" s="425"/>
      <c r="I50" s="22">
        <v>289336</v>
      </c>
      <c r="J50" s="22">
        <v>99336</v>
      </c>
      <c r="K50" s="22">
        <v>5236</v>
      </c>
      <c r="L50" s="22">
        <v>94100</v>
      </c>
      <c r="M50" s="22">
        <v>190000</v>
      </c>
      <c r="N50" s="22"/>
      <c r="O50" s="22"/>
      <c r="P50" s="22"/>
      <c r="Q50" s="22"/>
      <c r="R50" s="22"/>
      <c r="S50" s="22"/>
      <c r="T50" s="425"/>
      <c r="U50" s="425"/>
      <c r="V50" s="425"/>
      <c r="W50" s="425"/>
      <c r="X50" s="14"/>
    </row>
    <row r="51" spans="1:24" ht="9" customHeight="1" thickBot="1">
      <c r="A51" s="423"/>
      <c r="B51" s="423"/>
      <c r="C51" s="423"/>
      <c r="D51" s="424"/>
      <c r="E51" s="424"/>
      <c r="F51" s="19" t="s">
        <v>76</v>
      </c>
      <c r="G51" s="422">
        <v>-5236</v>
      </c>
      <c r="H51" s="422"/>
      <c r="I51" s="20">
        <v>-5236</v>
      </c>
      <c r="J51" s="20">
        <v>-5236</v>
      </c>
      <c r="K51" s="20">
        <v>-5236</v>
      </c>
      <c r="L51" s="20"/>
      <c r="M51" s="20"/>
      <c r="N51" s="20"/>
      <c r="O51" s="20"/>
      <c r="P51" s="20"/>
      <c r="Q51" s="20"/>
      <c r="R51" s="20"/>
      <c r="S51" s="20"/>
      <c r="T51" s="422"/>
      <c r="U51" s="422"/>
      <c r="V51" s="422"/>
      <c r="W51" s="422"/>
      <c r="X51" s="14"/>
    </row>
    <row r="52" spans="1:24" ht="9" customHeight="1" thickBot="1">
      <c r="A52" s="423"/>
      <c r="B52" s="423"/>
      <c r="C52" s="423"/>
      <c r="D52" s="424"/>
      <c r="E52" s="424"/>
      <c r="F52" s="19" t="s">
        <v>77</v>
      </c>
      <c r="G52" s="422"/>
      <c r="H52" s="422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422"/>
      <c r="U52" s="422"/>
      <c r="V52" s="422"/>
      <c r="W52" s="422"/>
      <c r="X52" s="14"/>
    </row>
    <row r="53" spans="1:24" ht="9" customHeight="1">
      <c r="A53" s="423"/>
      <c r="B53" s="423"/>
      <c r="C53" s="423"/>
      <c r="D53" s="424"/>
      <c r="E53" s="424"/>
      <c r="F53" s="19" t="s">
        <v>78</v>
      </c>
      <c r="G53" s="422">
        <v>284100</v>
      </c>
      <c r="H53" s="422"/>
      <c r="I53" s="20">
        <v>284100</v>
      </c>
      <c r="J53" s="20">
        <v>94100</v>
      </c>
      <c r="K53" s="20"/>
      <c r="L53" s="20">
        <v>94100</v>
      </c>
      <c r="M53" s="20">
        <v>190000</v>
      </c>
      <c r="N53" s="20"/>
      <c r="O53" s="20"/>
      <c r="P53" s="20"/>
      <c r="Q53" s="20"/>
      <c r="R53" s="20"/>
      <c r="S53" s="20"/>
      <c r="T53" s="422"/>
      <c r="U53" s="422"/>
      <c r="V53" s="422"/>
      <c r="W53" s="422"/>
      <c r="X53" s="14"/>
    </row>
    <row r="54" spans="1:24" ht="9" customHeight="1">
      <c r="A54" s="426">
        <v>852</v>
      </c>
      <c r="B54" s="426"/>
      <c r="C54" s="426"/>
      <c r="D54" s="421" t="s">
        <v>29</v>
      </c>
      <c r="E54" s="421"/>
      <c r="F54" s="19" t="s">
        <v>75</v>
      </c>
      <c r="G54" s="422">
        <v>3198900.4</v>
      </c>
      <c r="H54" s="422"/>
      <c r="I54" s="20">
        <v>3198900.4</v>
      </c>
      <c r="J54" s="20">
        <v>559258.4</v>
      </c>
      <c r="K54" s="20">
        <v>359398</v>
      </c>
      <c r="L54" s="20">
        <v>199860.4</v>
      </c>
      <c r="M54" s="20"/>
      <c r="N54" s="20">
        <v>2448358.77</v>
      </c>
      <c r="O54" s="20">
        <v>191283.23</v>
      </c>
      <c r="P54" s="23"/>
      <c r="Q54" s="23"/>
      <c r="R54" s="23"/>
      <c r="S54" s="23"/>
      <c r="T54" s="404"/>
      <c r="U54" s="404"/>
      <c r="V54" s="404"/>
      <c r="W54" s="404"/>
      <c r="X54" s="14"/>
    </row>
    <row r="55" spans="1:24" ht="9" customHeight="1">
      <c r="A55" s="426"/>
      <c r="B55" s="426"/>
      <c r="C55" s="426"/>
      <c r="D55" s="421"/>
      <c r="E55" s="421"/>
      <c r="F55" s="19" t="s">
        <v>76</v>
      </c>
      <c r="G55" s="422"/>
      <c r="H55" s="422"/>
      <c r="I55" s="20"/>
      <c r="J55" s="20"/>
      <c r="K55" s="20"/>
      <c r="L55" s="20"/>
      <c r="M55" s="20"/>
      <c r="N55" s="20"/>
      <c r="O55" s="20"/>
      <c r="P55" s="23"/>
      <c r="Q55" s="23"/>
      <c r="R55" s="23"/>
      <c r="S55" s="23"/>
      <c r="T55" s="404"/>
      <c r="U55" s="404"/>
      <c r="V55" s="404"/>
      <c r="W55" s="404"/>
      <c r="X55" s="14"/>
    </row>
    <row r="56" spans="1:24" ht="9" customHeight="1">
      <c r="A56" s="426"/>
      <c r="B56" s="426"/>
      <c r="C56" s="426"/>
      <c r="D56" s="421"/>
      <c r="E56" s="421"/>
      <c r="F56" s="19" t="s">
        <v>77</v>
      </c>
      <c r="G56" s="422">
        <v>11325</v>
      </c>
      <c r="H56" s="422"/>
      <c r="I56" s="20">
        <v>11325</v>
      </c>
      <c r="J56" s="20">
        <v>900</v>
      </c>
      <c r="K56" s="20"/>
      <c r="L56" s="20">
        <v>900</v>
      </c>
      <c r="M56" s="20"/>
      <c r="N56" s="20">
        <v>10425</v>
      </c>
      <c r="O56" s="20"/>
      <c r="P56" s="23"/>
      <c r="Q56" s="23"/>
      <c r="R56" s="23"/>
      <c r="S56" s="23"/>
      <c r="T56" s="404"/>
      <c r="U56" s="404"/>
      <c r="V56" s="404"/>
      <c r="W56" s="404"/>
      <c r="X56" s="14"/>
    </row>
    <row r="57" spans="1:24" ht="9" customHeight="1">
      <c r="A57" s="426"/>
      <c r="B57" s="426"/>
      <c r="C57" s="426"/>
      <c r="D57" s="421"/>
      <c r="E57" s="421"/>
      <c r="F57" s="19" t="s">
        <v>78</v>
      </c>
      <c r="G57" s="422">
        <v>3210225.4</v>
      </c>
      <c r="H57" s="422"/>
      <c r="I57" s="20">
        <v>3210225.4</v>
      </c>
      <c r="J57" s="20">
        <v>560158.4</v>
      </c>
      <c r="K57" s="20">
        <v>359398</v>
      </c>
      <c r="L57" s="20">
        <v>200760.4</v>
      </c>
      <c r="M57" s="20"/>
      <c r="N57" s="20">
        <v>2458783.77</v>
      </c>
      <c r="O57" s="20">
        <v>191283.23</v>
      </c>
      <c r="P57" s="23"/>
      <c r="Q57" s="23"/>
      <c r="R57" s="23"/>
      <c r="S57" s="23"/>
      <c r="T57" s="404"/>
      <c r="U57" s="404"/>
      <c r="V57" s="404"/>
      <c r="W57" s="404"/>
      <c r="X57" s="14"/>
    </row>
    <row r="58" spans="2:24" ht="6" customHeight="1">
      <c r="B58" s="427"/>
      <c r="C58" s="427"/>
      <c r="D58" s="427"/>
      <c r="E58" s="419"/>
      <c r="F58" s="419"/>
      <c r="G58" s="419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14"/>
    </row>
    <row r="59" spans="1:24" ht="9" customHeight="1">
      <c r="A59" s="426" t="s">
        <v>0</v>
      </c>
      <c r="B59" s="426"/>
      <c r="C59" s="426" t="s">
        <v>1</v>
      </c>
      <c r="D59" s="426" t="s">
        <v>3</v>
      </c>
      <c r="E59" s="426"/>
      <c r="F59" s="426"/>
      <c r="G59" s="426" t="s">
        <v>57</v>
      </c>
      <c r="H59" s="426"/>
      <c r="I59" s="426" t="s">
        <v>58</v>
      </c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14"/>
    </row>
    <row r="60" spans="1:24" ht="12.75" customHeight="1">
      <c r="A60" s="426"/>
      <c r="B60" s="426"/>
      <c r="C60" s="426"/>
      <c r="D60" s="426"/>
      <c r="E60" s="426"/>
      <c r="F60" s="426"/>
      <c r="G60" s="426"/>
      <c r="H60" s="426"/>
      <c r="I60" s="426" t="s">
        <v>59</v>
      </c>
      <c r="J60" s="426" t="s">
        <v>60</v>
      </c>
      <c r="K60" s="426"/>
      <c r="L60" s="426"/>
      <c r="M60" s="426"/>
      <c r="N60" s="426"/>
      <c r="O60" s="426"/>
      <c r="P60" s="426"/>
      <c r="Q60" s="426"/>
      <c r="R60" s="426" t="s">
        <v>61</v>
      </c>
      <c r="S60" s="426" t="s">
        <v>60</v>
      </c>
      <c r="T60" s="426"/>
      <c r="U60" s="426"/>
      <c r="V60" s="426"/>
      <c r="W60" s="426"/>
      <c r="X60" s="14"/>
    </row>
    <row r="61" spans="1:24" ht="2.25" customHeight="1">
      <c r="A61" s="426"/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 t="s">
        <v>62</v>
      </c>
      <c r="T61" s="426" t="s">
        <v>63</v>
      </c>
      <c r="U61" s="426"/>
      <c r="V61" s="426" t="s">
        <v>64</v>
      </c>
      <c r="W61" s="426"/>
      <c r="X61" s="14"/>
    </row>
    <row r="62" spans="1:24" ht="6" customHeight="1">
      <c r="A62" s="426"/>
      <c r="B62" s="426"/>
      <c r="C62" s="426"/>
      <c r="D62" s="426"/>
      <c r="E62" s="426"/>
      <c r="F62" s="426"/>
      <c r="G62" s="426"/>
      <c r="H62" s="426"/>
      <c r="I62" s="426"/>
      <c r="J62" s="426" t="s">
        <v>65</v>
      </c>
      <c r="K62" s="426" t="s">
        <v>60</v>
      </c>
      <c r="L62" s="426"/>
      <c r="M62" s="426" t="s">
        <v>66</v>
      </c>
      <c r="N62" s="426" t="s">
        <v>67</v>
      </c>
      <c r="O62" s="426" t="s">
        <v>68</v>
      </c>
      <c r="P62" s="426" t="s">
        <v>69</v>
      </c>
      <c r="Q62" s="426" t="s">
        <v>70</v>
      </c>
      <c r="R62" s="426"/>
      <c r="S62" s="426"/>
      <c r="T62" s="426"/>
      <c r="U62" s="426"/>
      <c r="V62" s="426"/>
      <c r="W62" s="426"/>
      <c r="X62" s="14"/>
    </row>
    <row r="63" spans="1:24" ht="2.25" customHeight="1">
      <c r="A63" s="426"/>
      <c r="B63" s="426"/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426"/>
      <c r="S63" s="426"/>
      <c r="T63" s="426" t="s">
        <v>71</v>
      </c>
      <c r="U63" s="426"/>
      <c r="V63" s="426"/>
      <c r="W63" s="426"/>
      <c r="X63" s="14"/>
    </row>
    <row r="64" spans="1:24" ht="44.25" customHeight="1">
      <c r="A64" s="426"/>
      <c r="B64" s="426"/>
      <c r="C64" s="426"/>
      <c r="D64" s="426"/>
      <c r="E64" s="426"/>
      <c r="F64" s="426"/>
      <c r="G64" s="426"/>
      <c r="H64" s="426"/>
      <c r="I64" s="426"/>
      <c r="J64" s="426"/>
      <c r="K64" s="15" t="s">
        <v>72</v>
      </c>
      <c r="L64" s="15" t="s">
        <v>73</v>
      </c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14"/>
    </row>
    <row r="65" spans="1:24" s="18" customFormat="1" ht="9" customHeight="1" thickBot="1">
      <c r="A65" s="420">
        <v>1</v>
      </c>
      <c r="B65" s="420"/>
      <c r="C65" s="16">
        <v>2</v>
      </c>
      <c r="D65" s="420">
        <v>3</v>
      </c>
      <c r="E65" s="420"/>
      <c r="F65" s="420"/>
      <c r="G65" s="420">
        <v>4</v>
      </c>
      <c r="H65" s="420"/>
      <c r="I65" s="16">
        <v>5</v>
      </c>
      <c r="J65" s="16">
        <v>6</v>
      </c>
      <c r="K65" s="16">
        <v>7</v>
      </c>
      <c r="L65" s="16">
        <v>8</v>
      </c>
      <c r="M65" s="16">
        <v>9</v>
      </c>
      <c r="N65" s="16">
        <v>10</v>
      </c>
      <c r="O65" s="16">
        <v>11</v>
      </c>
      <c r="P65" s="16">
        <v>12</v>
      </c>
      <c r="Q65" s="16">
        <v>13</v>
      </c>
      <c r="R65" s="16">
        <v>14</v>
      </c>
      <c r="S65" s="16">
        <v>15</v>
      </c>
      <c r="T65" s="420">
        <v>16</v>
      </c>
      <c r="U65" s="420"/>
      <c r="V65" s="420">
        <v>17</v>
      </c>
      <c r="W65" s="420"/>
      <c r="X65" s="17"/>
    </row>
    <row r="66" spans="1:24" ht="10.5" customHeight="1" thickBot="1">
      <c r="A66" s="423"/>
      <c r="B66" s="423"/>
      <c r="C66" s="423">
        <v>85213</v>
      </c>
      <c r="D66" s="424" t="s">
        <v>35</v>
      </c>
      <c r="E66" s="424"/>
      <c r="F66" s="21" t="s">
        <v>75</v>
      </c>
      <c r="G66" s="425">
        <v>16750</v>
      </c>
      <c r="H66" s="425"/>
      <c r="I66" s="22">
        <v>16750</v>
      </c>
      <c r="J66" s="22">
        <v>16750</v>
      </c>
      <c r="K66" s="22"/>
      <c r="L66" s="22">
        <v>16750</v>
      </c>
      <c r="M66" s="22"/>
      <c r="N66" s="22"/>
      <c r="O66" s="22"/>
      <c r="P66" s="22"/>
      <c r="Q66" s="22"/>
      <c r="R66" s="22"/>
      <c r="S66" s="22"/>
      <c r="T66" s="425"/>
      <c r="U66" s="425"/>
      <c r="V66" s="425"/>
      <c r="W66" s="425"/>
      <c r="X66" s="14"/>
    </row>
    <row r="67" spans="1:24" ht="10.5" customHeight="1" thickBot="1">
      <c r="A67" s="423"/>
      <c r="B67" s="423"/>
      <c r="C67" s="423"/>
      <c r="D67" s="424"/>
      <c r="E67" s="424"/>
      <c r="F67" s="19" t="s">
        <v>76</v>
      </c>
      <c r="G67" s="422"/>
      <c r="H67" s="422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422"/>
      <c r="U67" s="422"/>
      <c r="V67" s="422"/>
      <c r="W67" s="422"/>
      <c r="X67" s="14"/>
    </row>
    <row r="68" spans="1:24" ht="10.5" customHeight="1" thickBot="1">
      <c r="A68" s="423"/>
      <c r="B68" s="423"/>
      <c r="C68" s="423"/>
      <c r="D68" s="424"/>
      <c r="E68" s="424"/>
      <c r="F68" s="19" t="s">
        <v>77</v>
      </c>
      <c r="G68" s="422">
        <v>900</v>
      </c>
      <c r="H68" s="422"/>
      <c r="I68" s="20">
        <v>900</v>
      </c>
      <c r="J68" s="20">
        <v>900</v>
      </c>
      <c r="K68" s="20"/>
      <c r="L68" s="20">
        <v>900</v>
      </c>
      <c r="M68" s="20"/>
      <c r="N68" s="20"/>
      <c r="O68" s="20"/>
      <c r="P68" s="20"/>
      <c r="Q68" s="20"/>
      <c r="R68" s="20"/>
      <c r="S68" s="20"/>
      <c r="T68" s="422"/>
      <c r="U68" s="422"/>
      <c r="V68" s="422"/>
      <c r="W68" s="422"/>
      <c r="X68" s="14"/>
    </row>
    <row r="69" spans="1:24" ht="10.5" customHeight="1" thickBot="1">
      <c r="A69" s="423"/>
      <c r="B69" s="423"/>
      <c r="C69" s="423"/>
      <c r="D69" s="424"/>
      <c r="E69" s="424"/>
      <c r="F69" s="19" t="s">
        <v>78</v>
      </c>
      <c r="G69" s="422">
        <v>17650</v>
      </c>
      <c r="H69" s="422"/>
      <c r="I69" s="20">
        <v>17650</v>
      </c>
      <c r="J69" s="20">
        <v>17650</v>
      </c>
      <c r="K69" s="20"/>
      <c r="L69" s="20">
        <v>17650</v>
      </c>
      <c r="M69" s="20"/>
      <c r="N69" s="20"/>
      <c r="O69" s="20"/>
      <c r="P69" s="20"/>
      <c r="Q69" s="20"/>
      <c r="R69" s="20"/>
      <c r="S69" s="20"/>
      <c r="T69" s="422"/>
      <c r="U69" s="422"/>
      <c r="V69" s="422"/>
      <c r="W69" s="422"/>
      <c r="X69" s="14"/>
    </row>
    <row r="70" spans="1:24" ht="9" customHeight="1" thickBot="1">
      <c r="A70" s="423"/>
      <c r="B70" s="423"/>
      <c r="C70" s="423">
        <v>85214</v>
      </c>
      <c r="D70" s="424" t="s">
        <v>89</v>
      </c>
      <c r="E70" s="424"/>
      <c r="F70" s="21" t="s">
        <v>75</v>
      </c>
      <c r="G70" s="425">
        <v>541909.77</v>
      </c>
      <c r="H70" s="425"/>
      <c r="I70" s="22">
        <v>541909.77</v>
      </c>
      <c r="J70" s="22"/>
      <c r="K70" s="22"/>
      <c r="L70" s="22"/>
      <c r="M70" s="22"/>
      <c r="N70" s="22">
        <v>541909.77</v>
      </c>
      <c r="O70" s="22"/>
      <c r="P70" s="22"/>
      <c r="Q70" s="22"/>
      <c r="R70" s="22"/>
      <c r="S70" s="22"/>
      <c r="T70" s="425"/>
      <c r="U70" s="425"/>
      <c r="V70" s="425"/>
      <c r="W70" s="425"/>
      <c r="X70" s="14"/>
    </row>
    <row r="71" spans="1:24" ht="9" customHeight="1" thickBot="1">
      <c r="A71" s="423"/>
      <c r="B71" s="423"/>
      <c r="C71" s="423"/>
      <c r="D71" s="424"/>
      <c r="E71" s="424"/>
      <c r="F71" s="19" t="s">
        <v>76</v>
      </c>
      <c r="G71" s="422"/>
      <c r="H71" s="422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422"/>
      <c r="U71" s="422"/>
      <c r="V71" s="422"/>
      <c r="W71" s="422"/>
      <c r="X71" s="14"/>
    </row>
    <row r="72" spans="1:24" ht="9" customHeight="1" thickBot="1">
      <c r="A72" s="423"/>
      <c r="B72" s="423"/>
      <c r="C72" s="423"/>
      <c r="D72" s="424"/>
      <c r="E72" s="424"/>
      <c r="F72" s="19" t="s">
        <v>77</v>
      </c>
      <c r="G72" s="422">
        <v>10425</v>
      </c>
      <c r="H72" s="422"/>
      <c r="I72" s="20">
        <v>10425</v>
      </c>
      <c r="J72" s="20"/>
      <c r="K72" s="20"/>
      <c r="L72" s="20"/>
      <c r="M72" s="20"/>
      <c r="N72" s="20">
        <v>10425</v>
      </c>
      <c r="O72" s="20"/>
      <c r="P72" s="20"/>
      <c r="Q72" s="20"/>
      <c r="R72" s="20"/>
      <c r="S72" s="20"/>
      <c r="T72" s="422"/>
      <c r="U72" s="422"/>
      <c r="V72" s="422"/>
      <c r="W72" s="422"/>
      <c r="X72" s="14"/>
    </row>
    <row r="73" spans="1:24" ht="9" customHeight="1">
      <c r="A73" s="423"/>
      <c r="B73" s="423"/>
      <c r="C73" s="423"/>
      <c r="D73" s="424"/>
      <c r="E73" s="424"/>
      <c r="F73" s="19" t="s">
        <v>78</v>
      </c>
      <c r="G73" s="422">
        <v>552334.77</v>
      </c>
      <c r="H73" s="422"/>
      <c r="I73" s="20">
        <v>552334.77</v>
      </c>
      <c r="J73" s="20"/>
      <c r="K73" s="20"/>
      <c r="L73" s="20"/>
      <c r="M73" s="20"/>
      <c r="N73" s="20">
        <v>552334.77</v>
      </c>
      <c r="O73" s="20"/>
      <c r="P73" s="20"/>
      <c r="Q73" s="20"/>
      <c r="R73" s="20"/>
      <c r="S73" s="20"/>
      <c r="T73" s="422"/>
      <c r="U73" s="422"/>
      <c r="V73" s="422"/>
      <c r="W73" s="422"/>
      <c r="X73" s="14"/>
    </row>
    <row r="74" spans="1:25" ht="9" customHeight="1">
      <c r="A74" s="426">
        <v>921</v>
      </c>
      <c r="B74" s="426"/>
      <c r="C74" s="426"/>
      <c r="D74" s="421" t="s">
        <v>90</v>
      </c>
      <c r="E74" s="421"/>
      <c r="F74" s="19" t="s">
        <v>75</v>
      </c>
      <c r="G74" s="422">
        <v>1235596.46</v>
      </c>
      <c r="H74" s="422"/>
      <c r="I74" s="20">
        <v>785276.46</v>
      </c>
      <c r="J74" s="20">
        <v>99038.91</v>
      </c>
      <c r="K74" s="20">
        <v>4250</v>
      </c>
      <c r="L74" s="20">
        <v>94788.91</v>
      </c>
      <c r="M74" s="20">
        <v>617400</v>
      </c>
      <c r="N74" s="20"/>
      <c r="O74" s="20">
        <v>68837.55</v>
      </c>
      <c r="P74" s="20"/>
      <c r="Q74" s="20"/>
      <c r="R74" s="20">
        <v>450320</v>
      </c>
      <c r="S74" s="20">
        <v>450320</v>
      </c>
      <c r="T74" s="422">
        <v>86815</v>
      </c>
      <c r="U74" s="422"/>
      <c r="V74" s="422"/>
      <c r="W74" s="422"/>
      <c r="Y74" s="14"/>
    </row>
    <row r="75" spans="1:25" ht="9" customHeight="1">
      <c r="A75" s="426"/>
      <c r="B75" s="426"/>
      <c r="C75" s="426"/>
      <c r="D75" s="421"/>
      <c r="E75" s="421"/>
      <c r="F75" s="19" t="s">
        <v>76</v>
      </c>
      <c r="G75" s="422">
        <v>-200950.87</v>
      </c>
      <c r="H75" s="422"/>
      <c r="I75" s="20"/>
      <c r="J75" s="20"/>
      <c r="K75" s="20"/>
      <c r="L75" s="20"/>
      <c r="M75" s="20"/>
      <c r="N75" s="20"/>
      <c r="O75" s="20"/>
      <c r="P75" s="20"/>
      <c r="Q75" s="20"/>
      <c r="R75" s="20">
        <v>-200950.87</v>
      </c>
      <c r="S75" s="20">
        <v>-200950.87</v>
      </c>
      <c r="T75" s="422"/>
      <c r="U75" s="422"/>
      <c r="V75" s="422"/>
      <c r="W75" s="422"/>
      <c r="Y75" s="14"/>
    </row>
    <row r="76" spans="1:25" ht="9" customHeight="1">
      <c r="A76" s="426"/>
      <c r="B76" s="426"/>
      <c r="C76" s="426"/>
      <c r="D76" s="421"/>
      <c r="E76" s="421"/>
      <c r="F76" s="19" t="s">
        <v>77</v>
      </c>
      <c r="G76" s="422">
        <v>210750.87</v>
      </c>
      <c r="H76" s="422"/>
      <c r="I76" s="20">
        <v>10000</v>
      </c>
      <c r="J76" s="20"/>
      <c r="K76" s="20"/>
      <c r="L76" s="20"/>
      <c r="M76" s="20">
        <v>10000</v>
      </c>
      <c r="N76" s="20"/>
      <c r="O76" s="20"/>
      <c r="P76" s="20"/>
      <c r="Q76" s="20"/>
      <c r="R76" s="20">
        <v>200750.87</v>
      </c>
      <c r="S76" s="20">
        <v>200750.87</v>
      </c>
      <c r="T76" s="422">
        <v>200750.87</v>
      </c>
      <c r="U76" s="422"/>
      <c r="V76" s="422"/>
      <c r="W76" s="422"/>
      <c r="Y76" s="14"/>
    </row>
    <row r="77" spans="1:25" ht="9" customHeight="1" thickBot="1">
      <c r="A77" s="426"/>
      <c r="B77" s="426"/>
      <c r="C77" s="426"/>
      <c r="D77" s="421"/>
      <c r="E77" s="421"/>
      <c r="F77" s="19" t="s">
        <v>78</v>
      </c>
      <c r="G77" s="422">
        <v>1245396.46</v>
      </c>
      <c r="H77" s="422"/>
      <c r="I77" s="20">
        <v>795276.46</v>
      </c>
      <c r="J77" s="20">
        <v>99038.91</v>
      </c>
      <c r="K77" s="20">
        <v>4250</v>
      </c>
      <c r="L77" s="20">
        <v>94788.91</v>
      </c>
      <c r="M77" s="20">
        <v>627400</v>
      </c>
      <c r="N77" s="20"/>
      <c r="O77" s="20">
        <v>68837.55</v>
      </c>
      <c r="P77" s="20"/>
      <c r="Q77" s="20"/>
      <c r="R77" s="20">
        <v>450120</v>
      </c>
      <c r="S77" s="20">
        <v>450120</v>
      </c>
      <c r="T77" s="422">
        <v>287565.87</v>
      </c>
      <c r="U77" s="422"/>
      <c r="V77" s="422"/>
      <c r="W77" s="422"/>
      <c r="Y77" s="14"/>
    </row>
    <row r="78" spans="1:25" ht="9" customHeight="1" thickBot="1">
      <c r="A78" s="423"/>
      <c r="B78" s="423"/>
      <c r="C78" s="423">
        <v>92109</v>
      </c>
      <c r="D78" s="424" t="s">
        <v>91</v>
      </c>
      <c r="E78" s="424"/>
      <c r="F78" s="21" t="s">
        <v>75</v>
      </c>
      <c r="G78" s="425">
        <v>799444.81</v>
      </c>
      <c r="H78" s="425"/>
      <c r="I78" s="22">
        <v>375624.81</v>
      </c>
      <c r="J78" s="22">
        <v>48487.91</v>
      </c>
      <c r="K78" s="22">
        <v>1500</v>
      </c>
      <c r="L78" s="22">
        <v>46987.91</v>
      </c>
      <c r="M78" s="22">
        <v>300000</v>
      </c>
      <c r="N78" s="22"/>
      <c r="O78" s="22">
        <v>27136.9</v>
      </c>
      <c r="P78" s="22"/>
      <c r="Q78" s="22"/>
      <c r="R78" s="22">
        <v>423820</v>
      </c>
      <c r="S78" s="22">
        <v>423820</v>
      </c>
      <c r="T78" s="425">
        <v>86815</v>
      </c>
      <c r="U78" s="425"/>
      <c r="V78" s="425"/>
      <c r="W78" s="425"/>
      <c r="Y78" s="14"/>
    </row>
    <row r="79" spans="1:25" ht="9" customHeight="1" thickBot="1">
      <c r="A79" s="423"/>
      <c r="B79" s="423"/>
      <c r="C79" s="423"/>
      <c r="D79" s="424"/>
      <c r="E79" s="424"/>
      <c r="F79" s="19" t="s">
        <v>76</v>
      </c>
      <c r="G79" s="422">
        <v>-200950.87</v>
      </c>
      <c r="H79" s="422"/>
      <c r="I79" s="20"/>
      <c r="J79" s="20"/>
      <c r="K79" s="20"/>
      <c r="L79" s="20"/>
      <c r="M79" s="20"/>
      <c r="N79" s="20"/>
      <c r="O79" s="20"/>
      <c r="P79" s="20"/>
      <c r="Q79" s="20"/>
      <c r="R79" s="20">
        <v>-200950.87</v>
      </c>
      <c r="S79" s="20">
        <v>-200950.87</v>
      </c>
      <c r="T79" s="422"/>
      <c r="U79" s="422"/>
      <c r="V79" s="422"/>
      <c r="W79" s="422"/>
      <c r="Y79" s="14"/>
    </row>
    <row r="80" spans="1:25" ht="9" customHeight="1" thickBot="1">
      <c r="A80" s="423"/>
      <c r="B80" s="423"/>
      <c r="C80" s="423"/>
      <c r="D80" s="424"/>
      <c r="E80" s="424"/>
      <c r="F80" s="19" t="s">
        <v>77</v>
      </c>
      <c r="G80" s="422">
        <v>210750.87</v>
      </c>
      <c r="H80" s="422"/>
      <c r="I80" s="20">
        <v>10000</v>
      </c>
      <c r="J80" s="20"/>
      <c r="K80" s="20"/>
      <c r="L80" s="20"/>
      <c r="M80" s="20">
        <v>10000</v>
      </c>
      <c r="N80" s="20"/>
      <c r="O80" s="20"/>
      <c r="P80" s="20"/>
      <c r="Q80" s="20"/>
      <c r="R80" s="20">
        <v>200750.87</v>
      </c>
      <c r="S80" s="20">
        <v>200750.87</v>
      </c>
      <c r="T80" s="422">
        <v>200750.87</v>
      </c>
      <c r="U80" s="422"/>
      <c r="V80" s="422"/>
      <c r="W80" s="422"/>
      <c r="Y80" s="14"/>
    </row>
    <row r="81" spans="1:25" ht="9" customHeight="1" thickBot="1">
      <c r="A81" s="405"/>
      <c r="B81" s="405"/>
      <c r="C81" s="405"/>
      <c r="D81" s="406"/>
      <c r="E81" s="406"/>
      <c r="F81" s="26" t="s">
        <v>78</v>
      </c>
      <c r="G81" s="410">
        <v>809244.81</v>
      </c>
      <c r="H81" s="410"/>
      <c r="I81" s="27">
        <v>385624.81</v>
      </c>
      <c r="J81" s="27">
        <v>48487.91</v>
      </c>
      <c r="K81" s="27">
        <v>1500</v>
      </c>
      <c r="L81" s="27">
        <v>46987.91</v>
      </c>
      <c r="M81" s="27">
        <v>310000</v>
      </c>
      <c r="N81" s="27"/>
      <c r="O81" s="27">
        <v>27136.9</v>
      </c>
      <c r="P81" s="27"/>
      <c r="Q81" s="27"/>
      <c r="R81" s="27">
        <v>423620</v>
      </c>
      <c r="S81" s="27">
        <v>423620</v>
      </c>
      <c r="T81" s="410">
        <v>287565.87</v>
      </c>
      <c r="U81" s="410"/>
      <c r="V81" s="410"/>
      <c r="W81" s="410"/>
      <c r="Y81" s="14"/>
    </row>
    <row r="82" spans="1:25" ht="9" customHeight="1">
      <c r="A82" s="413" t="s">
        <v>92</v>
      </c>
      <c r="B82" s="414"/>
      <c r="C82" s="414"/>
      <c r="D82" s="414"/>
      <c r="E82" s="414"/>
      <c r="F82" s="30" t="s">
        <v>75</v>
      </c>
      <c r="G82" s="401">
        <v>17320625.2</v>
      </c>
      <c r="H82" s="401"/>
      <c r="I82" s="10">
        <v>15264619.02</v>
      </c>
      <c r="J82" s="10">
        <v>9493153.53</v>
      </c>
      <c r="K82" s="10">
        <v>5732049.1</v>
      </c>
      <c r="L82" s="10">
        <v>3761104.43</v>
      </c>
      <c r="M82" s="10">
        <v>2068631.24</v>
      </c>
      <c r="N82" s="10">
        <v>2931310.77</v>
      </c>
      <c r="O82" s="10">
        <v>323423.48</v>
      </c>
      <c r="P82" s="10">
        <v>0</v>
      </c>
      <c r="Q82" s="10">
        <v>448100</v>
      </c>
      <c r="R82" s="10">
        <v>2056006.18</v>
      </c>
      <c r="S82" s="10">
        <v>2056006.18</v>
      </c>
      <c r="T82" s="401">
        <v>86815</v>
      </c>
      <c r="U82" s="401"/>
      <c r="V82" s="401">
        <v>0</v>
      </c>
      <c r="W82" s="402"/>
      <c r="Y82" s="14"/>
    </row>
    <row r="83" spans="1:25" ht="9" customHeight="1">
      <c r="A83" s="415"/>
      <c r="B83" s="416"/>
      <c r="C83" s="416"/>
      <c r="D83" s="416"/>
      <c r="E83" s="416"/>
      <c r="F83" s="31" t="s">
        <v>76</v>
      </c>
      <c r="G83" s="407">
        <v>-221077.17</v>
      </c>
      <c r="H83" s="407"/>
      <c r="I83" s="28">
        <v>-20126.3</v>
      </c>
      <c r="J83" s="28">
        <v>-20126.3</v>
      </c>
      <c r="K83" s="28">
        <v>-5236</v>
      </c>
      <c r="L83" s="28">
        <v>-14890.3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-200950.87</v>
      </c>
      <c r="S83" s="28">
        <v>-200950.87</v>
      </c>
      <c r="T83" s="407">
        <v>0</v>
      </c>
      <c r="U83" s="407"/>
      <c r="V83" s="407">
        <v>0</v>
      </c>
      <c r="W83" s="408"/>
      <c r="Y83" s="14"/>
    </row>
    <row r="84" spans="1:25" ht="9" customHeight="1">
      <c r="A84" s="415"/>
      <c r="B84" s="416"/>
      <c r="C84" s="416"/>
      <c r="D84" s="416"/>
      <c r="E84" s="416"/>
      <c r="F84" s="31" t="s">
        <v>77</v>
      </c>
      <c r="G84" s="407">
        <v>263969.17</v>
      </c>
      <c r="H84" s="407"/>
      <c r="I84" s="28">
        <v>63018.3</v>
      </c>
      <c r="J84" s="28">
        <v>35593.3</v>
      </c>
      <c r="K84" s="28">
        <v>0</v>
      </c>
      <c r="L84" s="28">
        <v>35593.3</v>
      </c>
      <c r="M84" s="28">
        <v>17000</v>
      </c>
      <c r="N84" s="28">
        <v>10425</v>
      </c>
      <c r="O84" s="28">
        <v>0</v>
      </c>
      <c r="P84" s="28">
        <v>0</v>
      </c>
      <c r="Q84" s="28">
        <v>0</v>
      </c>
      <c r="R84" s="28">
        <v>200950.87</v>
      </c>
      <c r="S84" s="28">
        <v>200950.87</v>
      </c>
      <c r="T84" s="407">
        <v>200750.87</v>
      </c>
      <c r="U84" s="407"/>
      <c r="V84" s="407">
        <v>0</v>
      </c>
      <c r="W84" s="408"/>
      <c r="Y84" s="14"/>
    </row>
    <row r="85" spans="1:25" ht="9" customHeight="1" thickBot="1">
      <c r="A85" s="417"/>
      <c r="B85" s="418"/>
      <c r="C85" s="418"/>
      <c r="D85" s="418"/>
      <c r="E85" s="418"/>
      <c r="F85" s="32" t="s">
        <v>78</v>
      </c>
      <c r="G85" s="411">
        <v>17363517.2</v>
      </c>
      <c r="H85" s="411"/>
      <c r="I85" s="29">
        <v>15307511.02</v>
      </c>
      <c r="J85" s="29">
        <v>9508620.53</v>
      </c>
      <c r="K85" s="29">
        <v>5726813.1</v>
      </c>
      <c r="L85" s="29">
        <v>3781807.43</v>
      </c>
      <c r="M85" s="29">
        <v>2085631.24</v>
      </c>
      <c r="N85" s="29">
        <v>2941735.77</v>
      </c>
      <c r="O85" s="29">
        <v>323423.48</v>
      </c>
      <c r="P85" s="29">
        <v>0</v>
      </c>
      <c r="Q85" s="29">
        <v>448100</v>
      </c>
      <c r="R85" s="29">
        <v>2056006.18</v>
      </c>
      <c r="S85" s="29">
        <v>2056006.18</v>
      </c>
      <c r="T85" s="411">
        <v>287565.87</v>
      </c>
      <c r="U85" s="411"/>
      <c r="V85" s="411">
        <v>0</v>
      </c>
      <c r="W85" s="412"/>
      <c r="Y85" s="14"/>
    </row>
  </sheetData>
  <mergeCells count="309">
    <mergeCell ref="G85:H85"/>
    <mergeCell ref="T85:U85"/>
    <mergeCell ref="V85:W85"/>
    <mergeCell ref="A82:E85"/>
    <mergeCell ref="G82:H82"/>
    <mergeCell ref="T82:U82"/>
    <mergeCell ref="V82:W82"/>
    <mergeCell ref="G83:H83"/>
    <mergeCell ref="T83:U83"/>
    <mergeCell ref="G84:H84"/>
    <mergeCell ref="T84:U84"/>
    <mergeCell ref="V84:W84"/>
    <mergeCell ref="A1:W1"/>
    <mergeCell ref="G81:H81"/>
    <mergeCell ref="T81:U81"/>
    <mergeCell ref="V81:W81"/>
    <mergeCell ref="V83:W83"/>
    <mergeCell ref="G79:H79"/>
    <mergeCell ref="T79:U79"/>
    <mergeCell ref="V79:W79"/>
    <mergeCell ref="T80:U80"/>
    <mergeCell ref="V80:W80"/>
    <mergeCell ref="G77:H77"/>
    <mergeCell ref="T77:U77"/>
    <mergeCell ref="V77:W77"/>
    <mergeCell ref="T78:U78"/>
    <mergeCell ref="V78:W78"/>
    <mergeCell ref="A78:B81"/>
    <mergeCell ref="C78:C81"/>
    <mergeCell ref="D78:E81"/>
    <mergeCell ref="G78:H78"/>
    <mergeCell ref="G80:H80"/>
    <mergeCell ref="G75:H75"/>
    <mergeCell ref="T75:U75"/>
    <mergeCell ref="V75:W75"/>
    <mergeCell ref="T76:U76"/>
    <mergeCell ref="V76:W76"/>
    <mergeCell ref="G73:H73"/>
    <mergeCell ref="T73:U73"/>
    <mergeCell ref="V73:W73"/>
    <mergeCell ref="A74:B77"/>
    <mergeCell ref="C74:C77"/>
    <mergeCell ref="D74:E77"/>
    <mergeCell ref="G74:H74"/>
    <mergeCell ref="G76:H76"/>
    <mergeCell ref="T74:U74"/>
    <mergeCell ref="V74:W74"/>
    <mergeCell ref="G71:H71"/>
    <mergeCell ref="T71:U71"/>
    <mergeCell ref="V71:W71"/>
    <mergeCell ref="T72:U72"/>
    <mergeCell ref="V72:W72"/>
    <mergeCell ref="G69:H69"/>
    <mergeCell ref="T69:U69"/>
    <mergeCell ref="V69:W69"/>
    <mergeCell ref="A70:B73"/>
    <mergeCell ref="C70:C73"/>
    <mergeCell ref="D70:E73"/>
    <mergeCell ref="G70:H70"/>
    <mergeCell ref="G72:H72"/>
    <mergeCell ref="T70:U70"/>
    <mergeCell ref="V70:W70"/>
    <mergeCell ref="G67:H67"/>
    <mergeCell ref="T67:U67"/>
    <mergeCell ref="V67:W67"/>
    <mergeCell ref="T68:U68"/>
    <mergeCell ref="V68:W68"/>
    <mergeCell ref="G57:H57"/>
    <mergeCell ref="T57:U57"/>
    <mergeCell ref="V57:W57"/>
    <mergeCell ref="A66:B69"/>
    <mergeCell ref="C66:C69"/>
    <mergeCell ref="D66:E69"/>
    <mergeCell ref="G66:H66"/>
    <mergeCell ref="G68:H68"/>
    <mergeCell ref="T66:U66"/>
    <mergeCell ref="V66:W66"/>
    <mergeCell ref="V55:W55"/>
    <mergeCell ref="G56:H56"/>
    <mergeCell ref="T56:U56"/>
    <mergeCell ref="V56:W56"/>
    <mergeCell ref="P62:P64"/>
    <mergeCell ref="V65:W65"/>
    <mergeCell ref="A54:B57"/>
    <mergeCell ref="C54:C57"/>
    <mergeCell ref="D54:E57"/>
    <mergeCell ref="G54:H54"/>
    <mergeCell ref="T54:U54"/>
    <mergeCell ref="V54:W54"/>
    <mergeCell ref="G55:H55"/>
    <mergeCell ref="T55:U55"/>
    <mergeCell ref="K62:L63"/>
    <mergeCell ref="Q62:Q64"/>
    <mergeCell ref="T63:U64"/>
    <mergeCell ref="A65:B65"/>
    <mergeCell ref="D65:F65"/>
    <mergeCell ref="G65:H65"/>
    <mergeCell ref="T65:U65"/>
    <mergeCell ref="M62:M64"/>
    <mergeCell ref="N62:N64"/>
    <mergeCell ref="O62:O64"/>
    <mergeCell ref="G59:H64"/>
    <mergeCell ref="I59:W59"/>
    <mergeCell ref="I60:I64"/>
    <mergeCell ref="J60:Q61"/>
    <mergeCell ref="R60:R64"/>
    <mergeCell ref="S60:W60"/>
    <mergeCell ref="S61:S64"/>
    <mergeCell ref="T61:U62"/>
    <mergeCell ref="V61:W64"/>
    <mergeCell ref="J62:J64"/>
    <mergeCell ref="C50:C53"/>
    <mergeCell ref="D50:E53"/>
    <mergeCell ref="A59:B64"/>
    <mergeCell ref="C59:C64"/>
    <mergeCell ref="D59:F64"/>
    <mergeCell ref="V51:W51"/>
    <mergeCell ref="G50:H50"/>
    <mergeCell ref="B58:D58"/>
    <mergeCell ref="E58:G58"/>
    <mergeCell ref="T52:U52"/>
    <mergeCell ref="V52:W52"/>
    <mergeCell ref="G53:H53"/>
    <mergeCell ref="T53:U53"/>
    <mergeCell ref="V53:W53"/>
    <mergeCell ref="A50:B53"/>
    <mergeCell ref="G52:H52"/>
    <mergeCell ref="T48:U48"/>
    <mergeCell ref="V48:W48"/>
    <mergeCell ref="G49:H49"/>
    <mergeCell ref="T49:U49"/>
    <mergeCell ref="V49:W49"/>
    <mergeCell ref="T50:U50"/>
    <mergeCell ref="V50:W50"/>
    <mergeCell ref="G51:H51"/>
    <mergeCell ref="T51:U51"/>
    <mergeCell ref="T46:U46"/>
    <mergeCell ref="V46:W46"/>
    <mergeCell ref="G47:H47"/>
    <mergeCell ref="T47:U47"/>
    <mergeCell ref="V47:W47"/>
    <mergeCell ref="A46:B49"/>
    <mergeCell ref="C46:C49"/>
    <mergeCell ref="D46:E49"/>
    <mergeCell ref="G46:H46"/>
    <mergeCell ref="G48:H48"/>
    <mergeCell ref="T44:U44"/>
    <mergeCell ref="V44:W44"/>
    <mergeCell ref="G45:H45"/>
    <mergeCell ref="T45:U45"/>
    <mergeCell ref="V45:W45"/>
    <mergeCell ref="T42:U42"/>
    <mergeCell ref="V42:W42"/>
    <mergeCell ref="G43:H43"/>
    <mergeCell ref="T43:U43"/>
    <mergeCell ref="V43:W43"/>
    <mergeCell ref="A42:B45"/>
    <mergeCell ref="C42:C45"/>
    <mergeCell ref="D42:E45"/>
    <mergeCell ref="G42:H42"/>
    <mergeCell ref="G44:H44"/>
    <mergeCell ref="T40:U40"/>
    <mergeCell ref="V40:W40"/>
    <mergeCell ref="G41:H41"/>
    <mergeCell ref="T41:U41"/>
    <mergeCell ref="V41:W41"/>
    <mergeCell ref="T38:U38"/>
    <mergeCell ref="V38:W38"/>
    <mergeCell ref="G39:H39"/>
    <mergeCell ref="T39:U39"/>
    <mergeCell ref="V39:W39"/>
    <mergeCell ref="A38:B41"/>
    <mergeCell ref="C38:C41"/>
    <mergeCell ref="D38:E41"/>
    <mergeCell ref="G38:H38"/>
    <mergeCell ref="G40:H40"/>
    <mergeCell ref="T36:U36"/>
    <mergeCell ref="V36:W36"/>
    <mergeCell ref="G37:H37"/>
    <mergeCell ref="T37:U37"/>
    <mergeCell ref="V37:W37"/>
    <mergeCell ref="T34:U34"/>
    <mergeCell ref="V34:W34"/>
    <mergeCell ref="G35:H35"/>
    <mergeCell ref="T35:U35"/>
    <mergeCell ref="V35:W35"/>
    <mergeCell ref="A34:B37"/>
    <mergeCell ref="C34:C37"/>
    <mergeCell ref="D34:E37"/>
    <mergeCell ref="G34:H34"/>
    <mergeCell ref="G36:H36"/>
    <mergeCell ref="T32:U32"/>
    <mergeCell ref="V32:W32"/>
    <mergeCell ref="G33:H33"/>
    <mergeCell ref="T33:U33"/>
    <mergeCell ref="V33:W33"/>
    <mergeCell ref="T30:U30"/>
    <mergeCell ref="V30:W30"/>
    <mergeCell ref="G31:H31"/>
    <mergeCell ref="T31:U31"/>
    <mergeCell ref="V31:W31"/>
    <mergeCell ref="A30:B33"/>
    <mergeCell ref="C30:C33"/>
    <mergeCell ref="D30:E33"/>
    <mergeCell ref="G30:H30"/>
    <mergeCell ref="G32:H32"/>
    <mergeCell ref="T28:U28"/>
    <mergeCell ref="V28:W28"/>
    <mergeCell ref="G29:H29"/>
    <mergeCell ref="T29:U29"/>
    <mergeCell ref="V29:W29"/>
    <mergeCell ref="T26:U26"/>
    <mergeCell ref="V26:W26"/>
    <mergeCell ref="G27:H27"/>
    <mergeCell ref="T27:U27"/>
    <mergeCell ref="V27:W27"/>
    <mergeCell ref="A26:B29"/>
    <mergeCell ref="C26:C29"/>
    <mergeCell ref="D26:E29"/>
    <mergeCell ref="G26:H26"/>
    <mergeCell ref="G28:H28"/>
    <mergeCell ref="T24:U24"/>
    <mergeCell ref="V24:W24"/>
    <mergeCell ref="G25:H25"/>
    <mergeCell ref="T25:U25"/>
    <mergeCell ref="V25:W25"/>
    <mergeCell ref="T22:U22"/>
    <mergeCell ref="V22:W22"/>
    <mergeCell ref="G23:H23"/>
    <mergeCell ref="T23:U23"/>
    <mergeCell ref="V23:W23"/>
    <mergeCell ref="A22:B25"/>
    <mergeCell ref="C22:C25"/>
    <mergeCell ref="D22:E25"/>
    <mergeCell ref="G22:H22"/>
    <mergeCell ref="G24:H24"/>
    <mergeCell ref="T20:U20"/>
    <mergeCell ref="V20:W20"/>
    <mergeCell ref="G21:H21"/>
    <mergeCell ref="T21:U21"/>
    <mergeCell ref="V21:W21"/>
    <mergeCell ref="T18:U18"/>
    <mergeCell ref="V18:W18"/>
    <mergeCell ref="G19:H19"/>
    <mergeCell ref="T19:U19"/>
    <mergeCell ref="V19:W19"/>
    <mergeCell ref="A18:B21"/>
    <mergeCell ref="C18:C21"/>
    <mergeCell ref="D18:E21"/>
    <mergeCell ref="G18:H18"/>
    <mergeCell ref="G20:H20"/>
    <mergeCell ref="T16:U16"/>
    <mergeCell ref="V16:W16"/>
    <mergeCell ref="G17:H17"/>
    <mergeCell ref="T17:U17"/>
    <mergeCell ref="V17:W17"/>
    <mergeCell ref="T14:U14"/>
    <mergeCell ref="V14:W14"/>
    <mergeCell ref="G15:H15"/>
    <mergeCell ref="T15:U15"/>
    <mergeCell ref="V15:W15"/>
    <mergeCell ref="A14:B17"/>
    <mergeCell ref="C14:C17"/>
    <mergeCell ref="D14:E17"/>
    <mergeCell ref="G14:H14"/>
    <mergeCell ref="G16:H16"/>
    <mergeCell ref="T12:U12"/>
    <mergeCell ref="V12:W12"/>
    <mergeCell ref="G13:H13"/>
    <mergeCell ref="T13:U13"/>
    <mergeCell ref="V13:W13"/>
    <mergeCell ref="T10:U10"/>
    <mergeCell ref="V10:W10"/>
    <mergeCell ref="G11:H11"/>
    <mergeCell ref="T11:U11"/>
    <mergeCell ref="V11:W11"/>
    <mergeCell ref="A10:B13"/>
    <mergeCell ref="C10:C13"/>
    <mergeCell ref="D10:E13"/>
    <mergeCell ref="G10:H10"/>
    <mergeCell ref="G12:H12"/>
    <mergeCell ref="P6:P8"/>
    <mergeCell ref="R4:R8"/>
    <mergeCell ref="S4:W4"/>
    <mergeCell ref="A9:B9"/>
    <mergeCell ref="D9:F9"/>
    <mergeCell ref="G9:H9"/>
    <mergeCell ref="T9:U9"/>
    <mergeCell ref="V9:W9"/>
    <mergeCell ref="B2:D2"/>
    <mergeCell ref="E2:G2"/>
    <mergeCell ref="H2:W2"/>
    <mergeCell ref="A3:B8"/>
    <mergeCell ref="C3:C8"/>
    <mergeCell ref="D3:F8"/>
    <mergeCell ref="G3:H8"/>
    <mergeCell ref="J6:J8"/>
    <mergeCell ref="K6:L7"/>
    <mergeCell ref="Q6:Q8"/>
    <mergeCell ref="I3:W3"/>
    <mergeCell ref="I4:I8"/>
    <mergeCell ref="J4:Q5"/>
    <mergeCell ref="S5:S8"/>
    <mergeCell ref="T5:U6"/>
    <mergeCell ref="V5:W8"/>
    <mergeCell ref="T7:U8"/>
    <mergeCell ref="M6:M8"/>
    <mergeCell ref="N6:N8"/>
    <mergeCell ref="O6:O8"/>
  </mergeCells>
  <printOptions horizontalCentered="1"/>
  <pageMargins left="0" right="0" top="0.7480314960629921" bottom="0.35433070866141736" header="0.1968503937007874" footer="0.15748031496062992"/>
  <pageSetup horizontalDpi="600" verticalDpi="600" orientation="landscape" paperSize="9" r:id="rId1"/>
  <headerFooter alignWithMargins="0">
    <oddHeader>&amp;R&amp;"Arial,Pogrubiony"&amp;7Załącznik Nr 2&amp;"Arial,Normalny"
do Uchwały Nr XXVII/169/2012
Rady Gminy Miłkowice
z dnia 18 grudnia 2012r.</oddHeader>
    <oddFooter>&amp;C&amp;6Strona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8"/>
  <sheetViews>
    <sheetView tabSelected="1" zoomScale="75" zoomScaleNormal="75" workbookViewId="0" topLeftCell="A79">
      <selection activeCell="B91" sqref="B91"/>
    </sheetView>
  </sheetViews>
  <sheetFormatPr defaultColWidth="7.33203125" defaultRowHeight="18.75" customHeight="1"/>
  <cols>
    <col min="1" max="1" width="5.5" style="186" customWidth="1"/>
    <col min="2" max="2" width="123.66015625" style="186" customWidth="1"/>
    <col min="3" max="3" width="17" style="186" customWidth="1"/>
    <col min="4" max="4" width="15.66015625" style="186" customWidth="1"/>
    <col min="5" max="5" width="16.33203125" style="186" customWidth="1"/>
    <col min="6" max="6" width="15.16015625" style="186" customWidth="1"/>
    <col min="7" max="7" width="13.66015625" style="186" customWidth="1"/>
    <col min="8" max="8" width="0" style="186" hidden="1" customWidth="1"/>
    <col min="9" max="9" width="19.83203125" style="186" customWidth="1"/>
    <col min="10" max="10" width="18.66015625" style="188" customWidth="1"/>
    <col min="11" max="11" width="4.5" style="186" customWidth="1"/>
    <col min="12" max="16384" width="7.33203125" style="186" customWidth="1"/>
  </cols>
  <sheetData>
    <row r="1" spans="1:11" s="34" customFormat="1" ht="21" customHeight="1">
      <c r="A1" s="486" t="s">
        <v>93</v>
      </c>
      <c r="B1" s="486"/>
      <c r="C1" s="486"/>
      <c r="D1" s="486"/>
      <c r="E1" s="486"/>
      <c r="F1" s="486"/>
      <c r="G1" s="486"/>
      <c r="H1" s="486"/>
      <c r="I1" s="486"/>
      <c r="J1" s="486"/>
      <c r="K1" s="33"/>
    </row>
    <row r="2" spans="2:11" s="35" customFormat="1" ht="12" customHeight="1">
      <c r="B2" s="36"/>
      <c r="J2" s="37"/>
      <c r="K2" s="38"/>
    </row>
    <row r="3" spans="1:11" s="41" customFormat="1" ht="14.25" customHeight="1">
      <c r="A3" s="452" t="s">
        <v>94</v>
      </c>
      <c r="B3" s="403" t="s">
        <v>95</v>
      </c>
      <c r="C3" s="403" t="s">
        <v>96</v>
      </c>
      <c r="D3" s="445" t="s">
        <v>97</v>
      </c>
      <c r="E3" s="445"/>
      <c r="F3" s="445"/>
      <c r="G3" s="445"/>
      <c r="H3" s="39"/>
      <c r="I3" s="39"/>
      <c r="J3" s="446" t="s">
        <v>98</v>
      </c>
      <c r="K3" s="40"/>
    </row>
    <row r="4" spans="1:11" s="41" customFormat="1" ht="14.25" customHeight="1">
      <c r="A4" s="452"/>
      <c r="B4" s="403"/>
      <c r="C4" s="403"/>
      <c r="D4" s="447" t="s">
        <v>99</v>
      </c>
      <c r="E4" s="448" t="s">
        <v>100</v>
      </c>
      <c r="F4" s="448"/>
      <c r="G4" s="448"/>
      <c r="H4" s="42"/>
      <c r="I4" s="42"/>
      <c r="J4" s="446"/>
      <c r="K4" s="40"/>
    </row>
    <row r="5" spans="1:11" s="41" customFormat="1" ht="14.25" customHeight="1">
      <c r="A5" s="452"/>
      <c r="B5" s="403"/>
      <c r="C5" s="403"/>
      <c r="D5" s="447"/>
      <c r="E5" s="449" t="s">
        <v>101</v>
      </c>
      <c r="F5" s="449" t="s">
        <v>102</v>
      </c>
      <c r="G5" s="450" t="s">
        <v>103</v>
      </c>
      <c r="H5" s="43" t="s">
        <v>104</v>
      </c>
      <c r="I5" s="451" t="s">
        <v>105</v>
      </c>
      <c r="J5" s="446"/>
      <c r="K5" s="40"/>
    </row>
    <row r="6" spans="1:11" s="41" customFormat="1" ht="14.25" customHeight="1">
      <c r="A6" s="452"/>
      <c r="B6" s="403"/>
      <c r="C6" s="403"/>
      <c r="D6" s="447"/>
      <c r="E6" s="449"/>
      <c r="F6" s="449"/>
      <c r="G6" s="450"/>
      <c r="H6" s="44"/>
      <c r="I6" s="451"/>
      <c r="J6" s="446"/>
      <c r="K6" s="40"/>
    </row>
    <row r="7" spans="1:11" s="41" customFormat="1" ht="15" customHeight="1">
      <c r="A7" s="452"/>
      <c r="B7" s="403"/>
      <c r="C7" s="403"/>
      <c r="D7" s="447"/>
      <c r="E7" s="449"/>
      <c r="F7" s="449"/>
      <c r="G7" s="450"/>
      <c r="H7" s="44"/>
      <c r="I7" s="451"/>
      <c r="J7" s="446"/>
      <c r="K7" s="40"/>
    </row>
    <row r="8" spans="1:11" s="50" customFormat="1" ht="10.5" customHeight="1">
      <c r="A8" s="45">
        <v>1</v>
      </c>
      <c r="B8" s="46">
        <v>2</v>
      </c>
      <c r="C8" s="46">
        <v>3</v>
      </c>
      <c r="D8" s="46">
        <v>4</v>
      </c>
      <c r="E8" s="47">
        <v>5</v>
      </c>
      <c r="F8" s="47">
        <v>6</v>
      </c>
      <c r="G8" s="47">
        <v>7</v>
      </c>
      <c r="H8" s="47">
        <v>10</v>
      </c>
      <c r="I8" s="47">
        <v>8</v>
      </c>
      <c r="J8" s="48">
        <v>9</v>
      </c>
      <c r="K8" s="49"/>
    </row>
    <row r="9" spans="1:11" s="41" customFormat="1" ht="18" customHeight="1" thickBot="1">
      <c r="A9" s="458" t="s">
        <v>106</v>
      </c>
      <c r="B9" s="459"/>
      <c r="C9" s="51">
        <f>C10+C24</f>
        <v>942475</v>
      </c>
      <c r="D9" s="51">
        <f>D10+D24</f>
        <v>0</v>
      </c>
      <c r="E9" s="51">
        <f>E10+E24</f>
        <v>774475</v>
      </c>
      <c r="F9" s="51">
        <f>F10+F24</f>
        <v>40000</v>
      </c>
      <c r="G9" s="51">
        <f>G10+G24</f>
        <v>151400</v>
      </c>
      <c r="H9" s="51" t="e">
        <f>H10+#REF!</f>
        <v>#REF!</v>
      </c>
      <c r="I9" s="52"/>
      <c r="J9" s="53"/>
      <c r="K9" s="40"/>
    </row>
    <row r="10" spans="1:11" s="41" customFormat="1" ht="21.75" customHeight="1" thickBot="1">
      <c r="A10" s="474" t="s">
        <v>107</v>
      </c>
      <c r="B10" s="474"/>
      <c r="C10" s="54">
        <f>SUM(C11:C23)</f>
        <v>616317</v>
      </c>
      <c r="D10" s="54">
        <f>SUM(D11:D23)</f>
        <v>0</v>
      </c>
      <c r="E10" s="54">
        <f>SUM(E11:E23)</f>
        <v>576317</v>
      </c>
      <c r="F10" s="54">
        <f>SUM(F11:F23)</f>
        <v>40000</v>
      </c>
      <c r="G10" s="54">
        <f>SUM(G11:G23)</f>
        <v>23400</v>
      </c>
      <c r="H10" s="54">
        <f>SUM(H11:H22)</f>
        <v>0</v>
      </c>
      <c r="I10" s="55"/>
      <c r="J10" s="56"/>
      <c r="K10" s="40"/>
    </row>
    <row r="11" spans="1:11" s="41" customFormat="1" ht="43.5" customHeight="1" thickTop="1">
      <c r="A11" s="57">
        <v>1</v>
      </c>
      <c r="B11" s="58" t="s">
        <v>108</v>
      </c>
      <c r="C11" s="59">
        <f>SUM(D11,E11,F11,G11,I11)</f>
        <v>640</v>
      </c>
      <c r="D11" s="60"/>
      <c r="E11" s="61">
        <v>640</v>
      </c>
      <c r="F11" s="60"/>
      <c r="G11" s="60"/>
      <c r="H11" s="60"/>
      <c r="I11" s="62"/>
      <c r="J11" s="453" t="s">
        <v>109</v>
      </c>
      <c r="K11" s="40"/>
    </row>
    <row r="12" spans="1:11" s="41" customFormat="1" ht="20.25" customHeight="1">
      <c r="A12" s="57">
        <v>2</v>
      </c>
      <c r="B12" s="58" t="s">
        <v>110</v>
      </c>
      <c r="C12" s="59">
        <f>SUM(D12,E12,F12,G12,I12)</f>
        <v>80000</v>
      </c>
      <c r="D12" s="60"/>
      <c r="E12" s="61">
        <v>80000</v>
      </c>
      <c r="F12" s="60"/>
      <c r="G12" s="60"/>
      <c r="H12" s="60"/>
      <c r="I12" s="62"/>
      <c r="J12" s="455"/>
      <c r="K12" s="40"/>
    </row>
    <row r="13" spans="1:11" s="41" customFormat="1" ht="30.75" customHeight="1">
      <c r="A13" s="57">
        <v>3</v>
      </c>
      <c r="B13" s="58" t="s">
        <v>111</v>
      </c>
      <c r="C13" s="59">
        <f>SUM(D13,E13,F13,G13,I13)</f>
        <v>23000</v>
      </c>
      <c r="D13" s="60"/>
      <c r="E13" s="61">
        <v>23000</v>
      </c>
      <c r="F13" s="60"/>
      <c r="G13" s="60"/>
      <c r="H13" s="60"/>
      <c r="I13" s="62"/>
      <c r="J13" s="455"/>
      <c r="K13" s="40"/>
    </row>
    <row r="14" spans="1:11" s="41" customFormat="1" ht="19.5" customHeight="1">
      <c r="A14" s="57">
        <v>4</v>
      </c>
      <c r="B14" s="64" t="s">
        <v>112</v>
      </c>
      <c r="C14" s="59">
        <f>SUM(D14,E14,F14,G14,I14)</f>
        <v>107500</v>
      </c>
      <c r="D14" s="59"/>
      <c r="E14" s="59">
        <f>100710+6290+500</f>
        <v>107500</v>
      </c>
      <c r="F14" s="59"/>
      <c r="G14" s="59"/>
      <c r="H14" s="59"/>
      <c r="I14" s="65" t="s">
        <v>113</v>
      </c>
      <c r="J14" s="455"/>
      <c r="K14" s="40"/>
    </row>
    <row r="15" spans="1:11" s="41" customFormat="1" ht="19.5" customHeight="1">
      <c r="A15" s="57">
        <v>5</v>
      </c>
      <c r="B15" s="64" t="s">
        <v>114</v>
      </c>
      <c r="C15" s="59">
        <f>SUM(D15,E15,F15,G15,I15)</f>
        <v>5000</v>
      </c>
      <c r="D15" s="59"/>
      <c r="E15" s="59">
        <f>45000-40000</f>
        <v>5000</v>
      </c>
      <c r="F15" s="59"/>
      <c r="G15" s="59"/>
      <c r="H15" s="59"/>
      <c r="I15" s="66"/>
      <c r="J15" s="455"/>
      <c r="K15" s="40"/>
    </row>
    <row r="16" spans="1:11" s="41" customFormat="1" ht="30" customHeight="1">
      <c r="A16" s="57">
        <v>6</v>
      </c>
      <c r="B16" s="64" t="s">
        <v>115</v>
      </c>
      <c r="C16" s="59">
        <f>SUM(D16,E16,F16,G16,I16)-23400</f>
        <v>155177</v>
      </c>
      <c r="D16" s="59"/>
      <c r="E16" s="59">
        <f>55177-F16+100000</f>
        <v>115177</v>
      </c>
      <c r="F16" s="59">
        <v>40000</v>
      </c>
      <c r="G16" s="59">
        <v>23400</v>
      </c>
      <c r="H16" s="59"/>
      <c r="I16" s="62" t="s">
        <v>116</v>
      </c>
      <c r="J16" s="473"/>
      <c r="K16" s="40"/>
    </row>
    <row r="17" spans="1:11" s="41" customFormat="1" ht="21" customHeight="1">
      <c r="A17" s="57">
        <v>7</v>
      </c>
      <c r="B17" s="68" t="s">
        <v>117</v>
      </c>
      <c r="C17" s="59">
        <f>E17</f>
        <v>62000</v>
      </c>
      <c r="D17" s="59"/>
      <c r="E17" s="59">
        <f>87000-25000</f>
        <v>62000</v>
      </c>
      <c r="F17" s="59"/>
      <c r="G17" s="59"/>
      <c r="H17" s="59"/>
      <c r="I17" s="478" t="s">
        <v>118</v>
      </c>
      <c r="J17" s="475" t="s">
        <v>119</v>
      </c>
      <c r="K17" s="40"/>
    </row>
    <row r="18" spans="1:11" s="41" customFormat="1" ht="21" customHeight="1">
      <c r="A18" s="57">
        <v>8</v>
      </c>
      <c r="B18" s="68" t="s">
        <v>120</v>
      </c>
      <c r="C18" s="59">
        <f>E18</f>
        <v>50000</v>
      </c>
      <c r="D18" s="59"/>
      <c r="E18" s="59">
        <f>71000-21000</f>
        <v>50000</v>
      </c>
      <c r="F18" s="59"/>
      <c r="G18" s="59"/>
      <c r="H18" s="59"/>
      <c r="I18" s="465"/>
      <c r="J18" s="476"/>
      <c r="K18" s="40"/>
    </row>
    <row r="19" spans="1:11" s="41" customFormat="1" ht="19.5" customHeight="1">
      <c r="A19" s="57">
        <v>9</v>
      </c>
      <c r="B19" s="68" t="s">
        <v>121</v>
      </c>
      <c r="C19" s="59">
        <v>15000</v>
      </c>
      <c r="D19" s="59"/>
      <c r="E19" s="59">
        <v>15000</v>
      </c>
      <c r="F19" s="59"/>
      <c r="G19" s="59"/>
      <c r="H19" s="59"/>
      <c r="I19" s="465"/>
      <c r="J19" s="476"/>
      <c r="K19" s="40"/>
    </row>
    <row r="20" spans="1:11" s="41" customFormat="1" ht="28.5" customHeight="1">
      <c r="A20" s="57">
        <v>10</v>
      </c>
      <c r="B20" s="64" t="s">
        <v>122</v>
      </c>
      <c r="C20" s="59">
        <f>SUM(D20,E20,F20,G20,I20)</f>
        <v>10000</v>
      </c>
      <c r="D20" s="59"/>
      <c r="E20" s="59">
        <f>30000-20000</f>
        <v>10000</v>
      </c>
      <c r="F20" s="59"/>
      <c r="G20" s="59"/>
      <c r="H20" s="59"/>
      <c r="I20" s="465"/>
      <c r="J20" s="476"/>
      <c r="K20" s="40"/>
    </row>
    <row r="21" spans="1:11" s="41" customFormat="1" ht="19.5" customHeight="1">
      <c r="A21" s="57">
        <v>11</v>
      </c>
      <c r="B21" s="64" t="s">
        <v>201</v>
      </c>
      <c r="C21" s="59">
        <f>SUM(D21,E21,F21,G21,I21)</f>
        <v>28000</v>
      </c>
      <c r="D21" s="59"/>
      <c r="E21" s="59">
        <f>35000-7000</f>
        <v>28000</v>
      </c>
      <c r="F21" s="59"/>
      <c r="G21" s="59"/>
      <c r="H21" s="59"/>
      <c r="I21" s="465"/>
      <c r="J21" s="476"/>
      <c r="K21" s="40"/>
    </row>
    <row r="22" spans="1:11" s="41" customFormat="1" ht="21.75" customHeight="1">
      <c r="A22" s="57">
        <v>12</v>
      </c>
      <c r="B22" s="64" t="s">
        <v>123</v>
      </c>
      <c r="C22" s="59">
        <f>SUM(D22,E22,F22,G22,I22)</f>
        <v>32000</v>
      </c>
      <c r="D22" s="59"/>
      <c r="E22" s="59">
        <v>32000</v>
      </c>
      <c r="F22" s="59"/>
      <c r="G22" s="59"/>
      <c r="H22" s="59"/>
      <c r="I22" s="479"/>
      <c r="J22" s="477"/>
      <c r="K22" s="40"/>
    </row>
    <row r="23" spans="1:11" s="41" customFormat="1" ht="21" customHeight="1">
      <c r="A23" s="57">
        <v>13</v>
      </c>
      <c r="B23" s="69" t="s">
        <v>124</v>
      </c>
      <c r="C23" s="70">
        <f>E23</f>
        <v>48000</v>
      </c>
      <c r="D23" s="70"/>
      <c r="E23" s="71">
        <f>33465+2535+12000</f>
        <v>48000</v>
      </c>
      <c r="F23" s="70"/>
      <c r="G23" s="70"/>
      <c r="H23" s="71"/>
      <c r="I23" s="70"/>
      <c r="J23" s="480" t="s">
        <v>109</v>
      </c>
      <c r="K23" s="40"/>
    </row>
    <row r="24" spans="1:11" s="41" customFormat="1" ht="21.75" customHeight="1" thickBot="1">
      <c r="A24" s="474" t="s">
        <v>125</v>
      </c>
      <c r="B24" s="474"/>
      <c r="C24" s="54">
        <f>C26+C25</f>
        <v>326158</v>
      </c>
      <c r="D24" s="54">
        <f>D26+D25</f>
        <v>0</v>
      </c>
      <c r="E24" s="54">
        <f>E26+E25</f>
        <v>198158</v>
      </c>
      <c r="F24" s="54">
        <f>F26+F25</f>
        <v>0</v>
      </c>
      <c r="G24" s="54">
        <f>G26+G25</f>
        <v>128000</v>
      </c>
      <c r="H24" s="54">
        <f>H26</f>
        <v>0</v>
      </c>
      <c r="I24" s="55"/>
      <c r="J24" s="481"/>
      <c r="K24" s="40"/>
    </row>
    <row r="25" spans="1:11" s="78" customFormat="1" ht="21.75" customHeight="1" thickTop="1">
      <c r="A25" s="73">
        <v>1</v>
      </c>
      <c r="B25" s="74" t="s">
        <v>126</v>
      </c>
      <c r="C25" s="75">
        <f>SUM(D25,E25,F25,G25)</f>
        <v>117558</v>
      </c>
      <c r="D25" s="76"/>
      <c r="E25" s="75">
        <f>117558-G25</f>
        <v>77558</v>
      </c>
      <c r="F25" s="75"/>
      <c r="G25" s="75">
        <v>40000</v>
      </c>
      <c r="H25" s="75"/>
      <c r="I25" s="482" t="s">
        <v>127</v>
      </c>
      <c r="J25" s="453" t="s">
        <v>109</v>
      </c>
      <c r="K25" s="77"/>
    </row>
    <row r="26" spans="1:11" s="78" customFormat="1" ht="21.75" customHeight="1" thickBot="1">
      <c r="A26" s="79">
        <v>2</v>
      </c>
      <c r="B26" s="80" t="s">
        <v>128</v>
      </c>
      <c r="C26" s="81">
        <f>SUM(D26,E26,F26,G26)</f>
        <v>208600</v>
      </c>
      <c r="D26" s="82"/>
      <c r="E26" s="83">
        <f>208600-G26</f>
        <v>120600</v>
      </c>
      <c r="F26" s="83"/>
      <c r="G26" s="83">
        <v>88000</v>
      </c>
      <c r="H26" s="83"/>
      <c r="I26" s="483"/>
      <c r="J26" s="454"/>
      <c r="K26" s="77"/>
    </row>
    <row r="27" spans="1:11" s="41" customFormat="1" ht="29.25" customHeight="1" thickBot="1">
      <c r="A27" s="458" t="s">
        <v>129</v>
      </c>
      <c r="B27" s="459"/>
      <c r="C27" s="51">
        <f aca="true" t="shared" si="0" ref="C27:H27">C28</f>
        <v>35000</v>
      </c>
      <c r="D27" s="51">
        <f t="shared" si="0"/>
        <v>4</v>
      </c>
      <c r="E27" s="51">
        <f t="shared" si="0"/>
        <v>35000</v>
      </c>
      <c r="F27" s="51">
        <f t="shared" si="0"/>
        <v>0</v>
      </c>
      <c r="G27" s="51">
        <f t="shared" si="0"/>
        <v>0</v>
      </c>
      <c r="H27" s="51">
        <f t="shared" si="0"/>
        <v>0</v>
      </c>
      <c r="I27" s="52"/>
      <c r="J27" s="53"/>
      <c r="K27" s="40"/>
    </row>
    <row r="28" spans="1:11" s="41" customFormat="1" ht="21.75" customHeight="1" thickBot="1">
      <c r="A28" s="474" t="s">
        <v>130</v>
      </c>
      <c r="B28" s="474"/>
      <c r="C28" s="54">
        <f>C29</f>
        <v>35000</v>
      </c>
      <c r="D28" s="54">
        <f>SUM(D29:D44)</f>
        <v>4</v>
      </c>
      <c r="E28" s="54">
        <f>E29</f>
        <v>35000</v>
      </c>
      <c r="F28" s="54">
        <f>F29</f>
        <v>0</v>
      </c>
      <c r="G28" s="54">
        <f>G29</f>
        <v>0</v>
      </c>
      <c r="H28" s="54">
        <f>H29</f>
        <v>0</v>
      </c>
      <c r="I28" s="55"/>
      <c r="J28" s="56"/>
      <c r="K28" s="40"/>
    </row>
    <row r="29" spans="1:11" s="41" customFormat="1" ht="28.5" customHeight="1" thickBot="1" thickTop="1">
      <c r="A29" s="57">
        <v>1</v>
      </c>
      <c r="B29" s="58" t="s">
        <v>131</v>
      </c>
      <c r="C29" s="59">
        <f>SUM(D29,E29,F29,G29,I29)</f>
        <v>35000</v>
      </c>
      <c r="D29" s="60"/>
      <c r="E29" s="61">
        <v>35000</v>
      </c>
      <c r="F29" s="60"/>
      <c r="G29" s="60"/>
      <c r="H29" s="60"/>
      <c r="I29" s="85"/>
      <c r="J29" s="72" t="s">
        <v>109</v>
      </c>
      <c r="K29" s="40"/>
    </row>
    <row r="30" spans="1:11" s="41" customFormat="1" ht="18" customHeight="1" thickBot="1">
      <c r="A30" s="484" t="s">
        <v>132</v>
      </c>
      <c r="B30" s="484"/>
      <c r="C30" s="86">
        <f>C43+C31</f>
        <v>235681</v>
      </c>
      <c r="D30" s="86">
        <f>D43+D31</f>
        <v>0</v>
      </c>
      <c r="E30" s="86">
        <f>E43+E31</f>
        <v>210681</v>
      </c>
      <c r="F30" s="86">
        <f>F43+F31</f>
        <v>0</v>
      </c>
      <c r="G30" s="86">
        <f>G43+G31</f>
        <v>25000</v>
      </c>
      <c r="H30" s="86" t="e">
        <f>H43+#REF!</f>
        <v>#REF!</v>
      </c>
      <c r="I30" s="87"/>
      <c r="J30" s="88"/>
      <c r="K30" s="40"/>
    </row>
    <row r="31" spans="1:11" s="41" customFormat="1" ht="21.75" customHeight="1" thickBot="1">
      <c r="A31" s="474" t="s">
        <v>133</v>
      </c>
      <c r="B31" s="474"/>
      <c r="C31" s="54">
        <f>SUM(C32:C35)</f>
        <v>205000</v>
      </c>
      <c r="D31" s="54">
        <f>SUM(D32:D35)</f>
        <v>0</v>
      </c>
      <c r="E31" s="54">
        <f>SUM(E32:E35)</f>
        <v>180000</v>
      </c>
      <c r="F31" s="54">
        <f>F32</f>
        <v>0</v>
      </c>
      <c r="G31" s="54">
        <f>G32</f>
        <v>25000</v>
      </c>
      <c r="H31" s="54">
        <f>SUM(H44:H44)</f>
        <v>0</v>
      </c>
      <c r="I31" s="55"/>
      <c r="J31" s="56"/>
      <c r="K31" s="40"/>
    </row>
    <row r="32" spans="1:11" s="78" customFormat="1" ht="30.75" customHeight="1" thickTop="1">
      <c r="A32" s="89">
        <v>1</v>
      </c>
      <c r="B32" s="90" t="s">
        <v>134</v>
      </c>
      <c r="C32" s="91">
        <f>D32+E32+F32+G32</f>
        <v>87000</v>
      </c>
      <c r="D32" s="92"/>
      <c r="E32" s="93">
        <f>25000+17000+20000</f>
        <v>62000</v>
      </c>
      <c r="F32" s="93"/>
      <c r="G32" s="93">
        <v>25000</v>
      </c>
      <c r="H32" s="93"/>
      <c r="I32" s="94" t="s">
        <v>135</v>
      </c>
      <c r="J32" s="453" t="s">
        <v>109</v>
      </c>
      <c r="K32" s="77"/>
    </row>
    <row r="33" spans="1:11" s="78" customFormat="1" ht="22.5" customHeight="1">
      <c r="A33" s="89">
        <v>2</v>
      </c>
      <c r="B33" s="90" t="s">
        <v>136</v>
      </c>
      <c r="C33" s="91">
        <f>D33+E33+F33+G33+I33</f>
        <v>13000</v>
      </c>
      <c r="D33" s="92"/>
      <c r="E33" s="93">
        <f>20000-7000</f>
        <v>13000</v>
      </c>
      <c r="F33" s="93"/>
      <c r="G33" s="93"/>
      <c r="H33" s="93"/>
      <c r="I33" s="85"/>
      <c r="J33" s="455"/>
      <c r="K33" s="77"/>
    </row>
    <row r="34" spans="1:11" s="78" customFormat="1" ht="22.5" customHeight="1">
      <c r="A34" s="89">
        <v>3</v>
      </c>
      <c r="B34" s="90" t="s">
        <v>137</v>
      </c>
      <c r="C34" s="91">
        <f>D34+E34+F34+G34+I34</f>
        <v>5000</v>
      </c>
      <c r="D34" s="92"/>
      <c r="E34" s="93">
        <f>20000-15000</f>
        <v>5000</v>
      </c>
      <c r="F34" s="93"/>
      <c r="G34" s="93"/>
      <c r="H34" s="93"/>
      <c r="I34" s="95"/>
      <c r="J34" s="454"/>
      <c r="K34" s="77"/>
    </row>
    <row r="35" spans="1:11" s="78" customFormat="1" ht="47.25" customHeight="1">
      <c r="A35" s="89">
        <v>4</v>
      </c>
      <c r="B35" s="90" t="s">
        <v>138</v>
      </c>
      <c r="C35" s="91">
        <f>D35+E35+F35+G35+I35</f>
        <v>100000</v>
      </c>
      <c r="D35" s="92"/>
      <c r="E35" s="93">
        <v>100000</v>
      </c>
      <c r="F35" s="93"/>
      <c r="G35" s="93"/>
      <c r="H35" s="93"/>
      <c r="I35" s="95"/>
      <c r="J35" s="67" t="s">
        <v>205</v>
      </c>
      <c r="K35" s="77"/>
    </row>
    <row r="36" spans="2:11" s="35" customFormat="1" ht="41.25" customHeight="1" thickBot="1">
      <c r="B36" s="36"/>
      <c r="J36" s="37"/>
      <c r="K36" s="38"/>
    </row>
    <row r="37" spans="1:11" s="41" customFormat="1" ht="14.25" customHeight="1" thickBot="1">
      <c r="A37" s="452" t="s">
        <v>94</v>
      </c>
      <c r="B37" s="403" t="s">
        <v>95</v>
      </c>
      <c r="C37" s="403" t="s">
        <v>96</v>
      </c>
      <c r="D37" s="445" t="s">
        <v>97</v>
      </c>
      <c r="E37" s="445"/>
      <c r="F37" s="445"/>
      <c r="G37" s="445"/>
      <c r="H37" s="39"/>
      <c r="I37" s="39"/>
      <c r="J37" s="446" t="s">
        <v>98</v>
      </c>
      <c r="K37" s="40"/>
    </row>
    <row r="38" spans="1:11" s="41" customFormat="1" ht="14.25" customHeight="1" thickBot="1">
      <c r="A38" s="452"/>
      <c r="B38" s="403"/>
      <c r="C38" s="403"/>
      <c r="D38" s="447" t="s">
        <v>99</v>
      </c>
      <c r="E38" s="448" t="s">
        <v>100</v>
      </c>
      <c r="F38" s="448"/>
      <c r="G38" s="448"/>
      <c r="H38" s="42"/>
      <c r="I38" s="42"/>
      <c r="J38" s="446"/>
      <c r="K38" s="40"/>
    </row>
    <row r="39" spans="1:11" s="41" customFormat="1" ht="14.25" customHeight="1" thickBot="1">
      <c r="A39" s="452"/>
      <c r="B39" s="403"/>
      <c r="C39" s="403"/>
      <c r="D39" s="447"/>
      <c r="E39" s="449" t="s">
        <v>101</v>
      </c>
      <c r="F39" s="449" t="s">
        <v>102</v>
      </c>
      <c r="G39" s="450" t="s">
        <v>103</v>
      </c>
      <c r="H39" s="43" t="s">
        <v>104</v>
      </c>
      <c r="I39" s="451" t="s">
        <v>105</v>
      </c>
      <c r="J39" s="446"/>
      <c r="K39" s="40"/>
    </row>
    <row r="40" spans="1:11" s="41" customFormat="1" ht="14.25" customHeight="1" thickBot="1">
      <c r="A40" s="452"/>
      <c r="B40" s="403"/>
      <c r="C40" s="403"/>
      <c r="D40" s="447"/>
      <c r="E40" s="449"/>
      <c r="F40" s="449"/>
      <c r="G40" s="450"/>
      <c r="H40" s="44"/>
      <c r="I40" s="451"/>
      <c r="J40" s="446"/>
      <c r="K40" s="40"/>
    </row>
    <row r="41" spans="1:11" s="41" customFormat="1" ht="15" customHeight="1">
      <c r="A41" s="452"/>
      <c r="B41" s="403"/>
      <c r="C41" s="403"/>
      <c r="D41" s="447"/>
      <c r="E41" s="449"/>
      <c r="F41" s="449"/>
      <c r="G41" s="450"/>
      <c r="H41" s="44"/>
      <c r="I41" s="451"/>
      <c r="J41" s="446"/>
      <c r="K41" s="40"/>
    </row>
    <row r="42" spans="1:11" s="50" customFormat="1" ht="10.5" customHeight="1">
      <c r="A42" s="392">
        <v>1</v>
      </c>
      <c r="B42" s="393">
        <v>2</v>
      </c>
      <c r="C42" s="393">
        <v>3</v>
      </c>
      <c r="D42" s="393">
        <v>4</v>
      </c>
      <c r="E42" s="394">
        <v>5</v>
      </c>
      <c r="F42" s="394">
        <v>6</v>
      </c>
      <c r="G42" s="394">
        <v>7</v>
      </c>
      <c r="H42" s="394">
        <v>10</v>
      </c>
      <c r="I42" s="394">
        <v>8</v>
      </c>
      <c r="J42" s="395">
        <v>9</v>
      </c>
      <c r="K42" s="49"/>
    </row>
    <row r="43" spans="1:11" s="41" customFormat="1" ht="21.75" customHeight="1" thickBot="1">
      <c r="A43" s="474" t="s">
        <v>139</v>
      </c>
      <c r="B43" s="474"/>
      <c r="C43" s="54">
        <f>SUM(C44:C47)</f>
        <v>30681</v>
      </c>
      <c r="D43" s="54">
        <f>SUM(D44:D47)</f>
        <v>0</v>
      </c>
      <c r="E43" s="54">
        <f>SUM(E44:E47)</f>
        <v>30681</v>
      </c>
      <c r="F43" s="54">
        <f>SUM(F44:F47)</f>
        <v>0</v>
      </c>
      <c r="G43" s="54">
        <f>SUM(G44:G47)</f>
        <v>0</v>
      </c>
      <c r="H43" s="54">
        <f>SUM(H47:H47)</f>
        <v>0</v>
      </c>
      <c r="I43" s="55"/>
      <c r="J43" s="56"/>
      <c r="K43" s="40"/>
    </row>
    <row r="44" spans="1:11" s="78" customFormat="1" ht="21.75" customHeight="1" thickTop="1">
      <c r="A44" s="96">
        <v>1</v>
      </c>
      <c r="B44" s="80" t="s">
        <v>140</v>
      </c>
      <c r="C44" s="83">
        <f>SUM(D44,E44,F44,G44,J7)</f>
        <v>6157</v>
      </c>
      <c r="D44" s="82"/>
      <c r="E44" s="83">
        <v>6157</v>
      </c>
      <c r="F44" s="83"/>
      <c r="G44" s="83"/>
      <c r="H44" s="83"/>
      <c r="I44" s="97"/>
      <c r="J44" s="453" t="s">
        <v>109</v>
      </c>
      <c r="K44" s="77"/>
    </row>
    <row r="45" spans="1:11" s="78" customFormat="1" ht="21.75" customHeight="1" thickBot="1">
      <c r="A45" s="96">
        <v>2</v>
      </c>
      <c r="B45" s="80" t="s">
        <v>141</v>
      </c>
      <c r="C45" s="83">
        <f>E45</f>
        <v>7497</v>
      </c>
      <c r="D45" s="82"/>
      <c r="E45" s="83">
        <v>7497</v>
      </c>
      <c r="F45" s="83"/>
      <c r="G45" s="83"/>
      <c r="H45" s="83"/>
      <c r="I45" s="97"/>
      <c r="J45" s="454"/>
      <c r="K45" s="77"/>
    </row>
    <row r="46" spans="1:11" s="78" customFormat="1" ht="21.75" customHeight="1" thickTop="1">
      <c r="A46" s="96">
        <v>3</v>
      </c>
      <c r="B46" s="80" t="s">
        <v>142</v>
      </c>
      <c r="C46" s="83">
        <f>E46</f>
        <v>6027</v>
      </c>
      <c r="D46" s="82"/>
      <c r="E46" s="83">
        <v>6027</v>
      </c>
      <c r="F46" s="83"/>
      <c r="G46" s="83"/>
      <c r="H46" s="83"/>
      <c r="I46" s="97"/>
      <c r="J46" s="453" t="s">
        <v>109</v>
      </c>
      <c r="K46" s="77"/>
    </row>
    <row r="47" spans="1:11" s="78" customFormat="1" ht="21.75" customHeight="1" thickBot="1">
      <c r="A47" s="98">
        <v>4</v>
      </c>
      <c r="B47" s="99" t="s">
        <v>143</v>
      </c>
      <c r="C47" s="100">
        <f>E47</f>
        <v>11000</v>
      </c>
      <c r="D47" s="101"/>
      <c r="E47" s="100">
        <f>15000-4000</f>
        <v>11000</v>
      </c>
      <c r="F47" s="100"/>
      <c r="G47" s="100"/>
      <c r="H47" s="100"/>
      <c r="I47" s="100"/>
      <c r="J47" s="454"/>
      <c r="K47" s="77"/>
    </row>
    <row r="48" spans="1:11" s="41" customFormat="1" ht="29.25" customHeight="1" thickBot="1">
      <c r="A48" s="458" t="s">
        <v>144</v>
      </c>
      <c r="B48" s="459"/>
      <c r="C48" s="51">
        <f aca="true" t="shared" si="1" ref="C48:H48">C49</f>
        <v>6000</v>
      </c>
      <c r="D48" s="51">
        <f t="shared" si="1"/>
        <v>0</v>
      </c>
      <c r="E48" s="51">
        <f t="shared" si="1"/>
        <v>6000</v>
      </c>
      <c r="F48" s="51">
        <f t="shared" si="1"/>
        <v>0</v>
      </c>
      <c r="G48" s="51">
        <f t="shared" si="1"/>
        <v>0</v>
      </c>
      <c r="H48" s="51">
        <f t="shared" si="1"/>
        <v>0</v>
      </c>
      <c r="I48" s="52"/>
      <c r="J48" s="53"/>
      <c r="K48" s="40"/>
    </row>
    <row r="49" spans="1:11" s="41" customFormat="1" ht="21.75" customHeight="1" thickBot="1">
      <c r="A49" s="474" t="s">
        <v>145</v>
      </c>
      <c r="B49" s="474"/>
      <c r="C49" s="54">
        <f>C50</f>
        <v>6000</v>
      </c>
      <c r="D49" s="54">
        <f>SUM(D50:D58)</f>
        <v>0</v>
      </c>
      <c r="E49" s="54">
        <f>E50</f>
        <v>6000</v>
      </c>
      <c r="F49" s="54">
        <f>F50</f>
        <v>0</v>
      </c>
      <c r="G49" s="54">
        <f>G50</f>
        <v>0</v>
      </c>
      <c r="H49" s="54">
        <f>H50</f>
        <v>0</v>
      </c>
      <c r="I49" s="55"/>
      <c r="J49" s="56"/>
      <c r="K49" s="40"/>
    </row>
    <row r="50" spans="1:11" s="41" customFormat="1" ht="28.5" customHeight="1" thickBot="1" thickTop="1">
      <c r="A50" s="57">
        <v>1</v>
      </c>
      <c r="B50" s="58" t="s">
        <v>146</v>
      </c>
      <c r="C50" s="59">
        <f>SUM(D50,E50,F50,G50,I50)</f>
        <v>6000</v>
      </c>
      <c r="D50" s="60"/>
      <c r="E50" s="61">
        <v>6000</v>
      </c>
      <c r="F50" s="60"/>
      <c r="G50" s="60"/>
      <c r="H50" s="60"/>
      <c r="I50" s="85"/>
      <c r="J50" s="72" t="s">
        <v>109</v>
      </c>
      <c r="K50" s="40"/>
    </row>
    <row r="51" spans="1:11" s="41" customFormat="1" ht="29.25" customHeight="1" thickBot="1">
      <c r="A51" s="458" t="s">
        <v>147</v>
      </c>
      <c r="B51" s="459"/>
      <c r="C51" s="51">
        <f aca="true" t="shared" si="2" ref="C51:H51">C52</f>
        <v>20000</v>
      </c>
      <c r="D51" s="51">
        <f t="shared" si="2"/>
        <v>0</v>
      </c>
      <c r="E51" s="51">
        <f t="shared" si="2"/>
        <v>20000</v>
      </c>
      <c r="F51" s="51">
        <f t="shared" si="2"/>
        <v>0</v>
      </c>
      <c r="G51" s="51">
        <f t="shared" si="2"/>
        <v>0</v>
      </c>
      <c r="H51" s="51">
        <f t="shared" si="2"/>
        <v>0</v>
      </c>
      <c r="I51" s="52"/>
      <c r="J51" s="53"/>
      <c r="K51" s="40"/>
    </row>
    <row r="52" spans="1:11" s="41" customFormat="1" ht="21.75" customHeight="1">
      <c r="A52" s="485" t="s">
        <v>148</v>
      </c>
      <c r="B52" s="485"/>
      <c r="C52" s="102">
        <f>C53</f>
        <v>20000</v>
      </c>
      <c r="D52" s="102">
        <f>SUM(D53:D62)</f>
        <v>0</v>
      </c>
      <c r="E52" s="102">
        <f>E53</f>
        <v>20000</v>
      </c>
      <c r="F52" s="102">
        <f>F53</f>
        <v>0</v>
      </c>
      <c r="G52" s="102">
        <f>G53</f>
        <v>0</v>
      </c>
      <c r="H52" s="102">
        <f>H53</f>
        <v>0</v>
      </c>
      <c r="I52" s="103"/>
      <c r="J52" s="104"/>
      <c r="K52" s="40"/>
    </row>
    <row r="53" spans="1:11" s="41" customFormat="1" ht="28.5" customHeight="1" thickBot="1">
      <c r="A53" s="105">
        <v>1</v>
      </c>
      <c r="B53" s="106" t="s">
        <v>149</v>
      </c>
      <c r="C53" s="107">
        <f>SUM(D53,E53,F53,G53,I53)</f>
        <v>20000</v>
      </c>
      <c r="D53" s="107"/>
      <c r="E53" s="108">
        <v>20000</v>
      </c>
      <c r="F53" s="107"/>
      <c r="G53" s="107"/>
      <c r="H53" s="107"/>
      <c r="I53" s="109"/>
      <c r="J53" s="110" t="s">
        <v>109</v>
      </c>
      <c r="K53" s="40"/>
    </row>
    <row r="54" spans="1:11" s="115" customFormat="1" ht="21.75" customHeight="1" thickBot="1">
      <c r="A54" s="462" t="s">
        <v>150</v>
      </c>
      <c r="B54" s="463"/>
      <c r="C54" s="111">
        <f>C55+C61</f>
        <v>66730.18</v>
      </c>
      <c r="D54" s="111">
        <f>D55+D61</f>
        <v>0</v>
      </c>
      <c r="E54" s="111">
        <f>E55+E61</f>
        <v>66730.18</v>
      </c>
      <c r="F54" s="112">
        <f>F55</f>
        <v>0</v>
      </c>
      <c r="G54" s="112">
        <f>G55</f>
        <v>0</v>
      </c>
      <c r="H54" s="112">
        <f>H55</f>
        <v>0</v>
      </c>
      <c r="I54" s="112"/>
      <c r="J54" s="113"/>
      <c r="K54" s="114"/>
    </row>
    <row r="55" spans="1:11" s="115" customFormat="1" ht="21.75" customHeight="1" thickBot="1">
      <c r="A55" s="457" t="s">
        <v>151</v>
      </c>
      <c r="B55" s="457"/>
      <c r="C55" s="116">
        <f>C56+C57+C58+C60+C59</f>
        <v>45972.59</v>
      </c>
      <c r="D55" s="116">
        <f>D56+D57+D58+D60+D59</f>
        <v>0</v>
      </c>
      <c r="E55" s="116">
        <f>E56+E57+E58+E60+E59</f>
        <v>45972.59</v>
      </c>
      <c r="F55" s="116">
        <f>F56+F57+F58+F60+F59</f>
        <v>0</v>
      </c>
      <c r="G55" s="116">
        <f>G56+G57+G58+G60+G59</f>
        <v>0</v>
      </c>
      <c r="H55" s="117">
        <f>H56+H60</f>
        <v>0</v>
      </c>
      <c r="I55" s="117"/>
      <c r="J55" s="118"/>
      <c r="K55" s="114"/>
    </row>
    <row r="56" spans="1:11" s="41" customFormat="1" ht="23.25" customHeight="1" thickTop="1">
      <c r="A56" s="119">
        <v>1</v>
      </c>
      <c r="B56" s="120" t="s">
        <v>152</v>
      </c>
      <c r="C56" s="121">
        <f>D56+E56+F56</f>
        <v>8215</v>
      </c>
      <c r="D56" s="121"/>
      <c r="E56" s="121">
        <v>8215</v>
      </c>
      <c r="F56" s="121"/>
      <c r="G56" s="121"/>
      <c r="H56" s="121"/>
      <c r="I56" s="464" t="s">
        <v>153</v>
      </c>
      <c r="J56" s="122" t="s">
        <v>154</v>
      </c>
      <c r="K56" s="40"/>
    </row>
    <row r="57" spans="1:11" s="41" customFormat="1" ht="23.25" customHeight="1">
      <c r="A57" s="123">
        <v>2</v>
      </c>
      <c r="B57" s="124" t="s">
        <v>155</v>
      </c>
      <c r="C57" s="125">
        <f>D57+E57+F57</f>
        <v>8000</v>
      </c>
      <c r="D57" s="60"/>
      <c r="E57" s="60">
        <v>8000</v>
      </c>
      <c r="F57" s="60"/>
      <c r="G57" s="60"/>
      <c r="H57" s="60"/>
      <c r="I57" s="465"/>
      <c r="J57" s="126" t="s">
        <v>154</v>
      </c>
      <c r="K57" s="40"/>
    </row>
    <row r="58" spans="1:11" s="41" customFormat="1" ht="23.25" customHeight="1">
      <c r="A58" s="123">
        <v>3</v>
      </c>
      <c r="B58" s="124" t="s">
        <v>156</v>
      </c>
      <c r="C58" s="127">
        <f>D58+E58+F58</f>
        <v>4000</v>
      </c>
      <c r="D58" s="60"/>
      <c r="E58" s="60">
        <v>4000</v>
      </c>
      <c r="F58" s="60"/>
      <c r="G58" s="60"/>
      <c r="H58" s="60"/>
      <c r="I58" s="465"/>
      <c r="J58" s="84" t="s">
        <v>157</v>
      </c>
      <c r="K58" s="40"/>
    </row>
    <row r="59" spans="1:11" s="41" customFormat="1" ht="23.25" customHeight="1">
      <c r="A59" s="123">
        <v>4</v>
      </c>
      <c r="B59" s="124" t="s">
        <v>158</v>
      </c>
      <c r="C59" s="128">
        <f>D59+E59+F59</f>
        <v>20757.59</v>
      </c>
      <c r="D59" s="129"/>
      <c r="E59" s="129">
        <v>20757.59</v>
      </c>
      <c r="F59" s="60"/>
      <c r="G59" s="60"/>
      <c r="H59" s="60"/>
      <c r="I59" s="465"/>
      <c r="J59" s="84" t="s">
        <v>157</v>
      </c>
      <c r="K59" s="40"/>
    </row>
    <row r="60" spans="1:11" s="41" customFormat="1" ht="23.25" customHeight="1">
      <c r="A60" s="123">
        <v>5</v>
      </c>
      <c r="B60" s="124" t="s">
        <v>203</v>
      </c>
      <c r="C60" s="127">
        <f>D60+E60+F60</f>
        <v>5000</v>
      </c>
      <c r="D60" s="60"/>
      <c r="E60" s="60">
        <f>4800+200</f>
        <v>5000</v>
      </c>
      <c r="F60" s="60"/>
      <c r="G60" s="60"/>
      <c r="H60" s="60"/>
      <c r="I60" s="466"/>
      <c r="J60" s="84" t="s">
        <v>159</v>
      </c>
      <c r="K60" s="40"/>
    </row>
    <row r="61" spans="1:11" s="115" customFormat="1" ht="21.75" customHeight="1" thickBot="1">
      <c r="A61" s="456" t="s">
        <v>160</v>
      </c>
      <c r="B61" s="457"/>
      <c r="C61" s="116">
        <f>C62</f>
        <v>20757.59</v>
      </c>
      <c r="D61" s="116">
        <f>D63+D66+D64</f>
        <v>0</v>
      </c>
      <c r="E61" s="116">
        <f>E62</f>
        <v>20757.59</v>
      </c>
      <c r="F61" s="117">
        <f>F63+F66</f>
        <v>0</v>
      </c>
      <c r="G61" s="117">
        <f>G63+G66</f>
        <v>0</v>
      </c>
      <c r="H61" s="117">
        <f>H63+H66</f>
        <v>0</v>
      </c>
      <c r="I61" s="117"/>
      <c r="J61" s="118"/>
      <c r="K61" s="114"/>
    </row>
    <row r="62" spans="1:11" s="41" customFormat="1" ht="23.25" customHeight="1" thickBot="1" thickTop="1">
      <c r="A62" s="130">
        <v>1</v>
      </c>
      <c r="B62" s="131" t="s">
        <v>161</v>
      </c>
      <c r="C62" s="128">
        <f>D62+E62+F62</f>
        <v>20757.59</v>
      </c>
      <c r="D62" s="129"/>
      <c r="E62" s="129">
        <v>20757.59</v>
      </c>
      <c r="F62" s="60"/>
      <c r="G62" s="60"/>
      <c r="H62" s="60"/>
      <c r="I62" s="132" t="s">
        <v>162</v>
      </c>
      <c r="J62" s="84" t="s">
        <v>163</v>
      </c>
      <c r="K62" s="40"/>
    </row>
    <row r="63" spans="1:11" s="115" customFormat="1" ht="21.75" customHeight="1" thickBot="1">
      <c r="A63" s="462" t="s">
        <v>164</v>
      </c>
      <c r="B63" s="463"/>
      <c r="C63" s="112">
        <f aca="true" t="shared" si="3" ref="C63:I63">C64</f>
        <v>45000</v>
      </c>
      <c r="D63" s="112">
        <f t="shared" si="3"/>
        <v>0</v>
      </c>
      <c r="E63" s="112">
        <f t="shared" si="3"/>
        <v>45000</v>
      </c>
      <c r="F63" s="112">
        <f t="shared" si="3"/>
        <v>0</v>
      </c>
      <c r="G63" s="112">
        <f t="shared" si="3"/>
        <v>0</v>
      </c>
      <c r="H63" s="112">
        <f t="shared" si="3"/>
        <v>0</v>
      </c>
      <c r="I63" s="112">
        <f t="shared" si="3"/>
        <v>0</v>
      </c>
      <c r="J63" s="113"/>
      <c r="K63" s="114"/>
    </row>
    <row r="64" spans="1:11" s="115" customFormat="1" ht="21.75" customHeight="1" thickBot="1">
      <c r="A64" s="457" t="s">
        <v>165</v>
      </c>
      <c r="B64" s="457"/>
      <c r="C64" s="117">
        <f aca="true" t="shared" si="4" ref="C64:I64">C65+C66</f>
        <v>45000</v>
      </c>
      <c r="D64" s="117">
        <f t="shared" si="4"/>
        <v>0</v>
      </c>
      <c r="E64" s="117">
        <f t="shared" si="4"/>
        <v>45000</v>
      </c>
      <c r="F64" s="117">
        <f t="shared" si="4"/>
        <v>0</v>
      </c>
      <c r="G64" s="117">
        <f t="shared" si="4"/>
        <v>0</v>
      </c>
      <c r="H64" s="117">
        <f t="shared" si="4"/>
        <v>0</v>
      </c>
      <c r="I64" s="117">
        <f t="shared" si="4"/>
        <v>0</v>
      </c>
      <c r="J64" s="118"/>
      <c r="K64" s="114"/>
    </row>
    <row r="65" spans="1:11" s="41" customFormat="1" ht="21" customHeight="1" thickTop="1">
      <c r="A65" s="133">
        <v>1</v>
      </c>
      <c r="B65" s="134" t="s">
        <v>166</v>
      </c>
      <c r="C65" s="135">
        <f>D65+E65+F65+G65+I65</f>
        <v>30000</v>
      </c>
      <c r="D65" s="135"/>
      <c r="E65" s="135">
        <v>30000</v>
      </c>
      <c r="F65" s="135"/>
      <c r="G65" s="135"/>
      <c r="H65" s="135"/>
      <c r="I65" s="136"/>
      <c r="J65" s="122" t="s">
        <v>167</v>
      </c>
      <c r="K65" s="40"/>
    </row>
    <row r="66" spans="1:11" s="41" customFormat="1" ht="21" customHeight="1" thickBot="1">
      <c r="A66" s="123">
        <v>2</v>
      </c>
      <c r="B66" s="124" t="s">
        <v>168</v>
      </c>
      <c r="C66" s="60">
        <f>SUM(D66,E66,F66,G66,J66)</f>
        <v>15000</v>
      </c>
      <c r="D66" s="60"/>
      <c r="E66" s="60">
        <v>15000</v>
      </c>
      <c r="F66" s="60"/>
      <c r="G66" s="60"/>
      <c r="H66" s="60"/>
      <c r="I66" s="137"/>
      <c r="J66" s="63" t="s">
        <v>159</v>
      </c>
      <c r="K66" s="40"/>
    </row>
    <row r="67" spans="1:11" s="115" customFormat="1" ht="21.75" customHeight="1" thickBot="1">
      <c r="A67" s="462" t="s">
        <v>169</v>
      </c>
      <c r="B67" s="463"/>
      <c r="C67" s="112">
        <f aca="true" t="shared" si="5" ref="C67:I68">C68</f>
        <v>80000</v>
      </c>
      <c r="D67" s="112">
        <f t="shared" si="5"/>
        <v>0</v>
      </c>
      <c r="E67" s="112">
        <f t="shared" si="5"/>
        <v>80000</v>
      </c>
      <c r="F67" s="112">
        <f t="shared" si="5"/>
        <v>0</v>
      </c>
      <c r="G67" s="112">
        <f t="shared" si="5"/>
        <v>0</v>
      </c>
      <c r="H67" s="112">
        <f t="shared" si="5"/>
        <v>0</v>
      </c>
      <c r="I67" s="112">
        <f t="shared" si="5"/>
        <v>0</v>
      </c>
      <c r="J67" s="113"/>
      <c r="K67" s="114"/>
    </row>
    <row r="68" spans="1:11" s="115" customFormat="1" ht="21.75" customHeight="1" thickBot="1">
      <c r="A68" s="457" t="s">
        <v>170</v>
      </c>
      <c r="B68" s="457"/>
      <c r="C68" s="117">
        <f t="shared" si="5"/>
        <v>80000</v>
      </c>
      <c r="D68" s="117">
        <f t="shared" si="5"/>
        <v>0</v>
      </c>
      <c r="E68" s="117">
        <f t="shared" si="5"/>
        <v>80000</v>
      </c>
      <c r="F68" s="117">
        <f t="shared" si="5"/>
        <v>0</v>
      </c>
      <c r="G68" s="117">
        <f t="shared" si="5"/>
        <v>0</v>
      </c>
      <c r="H68" s="117">
        <f t="shared" si="5"/>
        <v>0</v>
      </c>
      <c r="I68" s="117">
        <f t="shared" si="5"/>
        <v>0</v>
      </c>
      <c r="J68" s="118"/>
      <c r="K68" s="114"/>
    </row>
    <row r="69" spans="1:11" s="41" customFormat="1" ht="33" customHeight="1" thickBot="1" thickTop="1">
      <c r="A69" s="133">
        <v>1</v>
      </c>
      <c r="B69" s="134" t="s">
        <v>204</v>
      </c>
      <c r="C69" s="135">
        <f>D69+E69+F69+G69+I69</f>
        <v>80000</v>
      </c>
      <c r="D69" s="135"/>
      <c r="E69" s="135">
        <v>80000</v>
      </c>
      <c r="F69" s="135"/>
      <c r="G69" s="135"/>
      <c r="H69" s="135"/>
      <c r="I69" s="136"/>
      <c r="J69" s="122" t="s">
        <v>171</v>
      </c>
      <c r="K69" s="40"/>
    </row>
    <row r="70" spans="1:11" s="41" customFormat="1" ht="23.25" customHeight="1" thickBot="1">
      <c r="A70" s="484" t="s">
        <v>172</v>
      </c>
      <c r="B70" s="484"/>
      <c r="C70" s="86">
        <f>C71+C80+C82</f>
        <v>36000</v>
      </c>
      <c r="D70" s="86">
        <f>D71+D80+D82</f>
        <v>0</v>
      </c>
      <c r="E70" s="86">
        <f>E71+E80+E82</f>
        <v>36000</v>
      </c>
      <c r="F70" s="86">
        <f>F71+F80+F82</f>
        <v>0</v>
      </c>
      <c r="G70" s="86">
        <f>G71+G80+G82</f>
        <v>0</v>
      </c>
      <c r="H70" s="86">
        <f>H71+H80</f>
        <v>0</v>
      </c>
      <c r="I70" s="86"/>
      <c r="J70" s="138"/>
      <c r="K70" s="40"/>
    </row>
    <row r="71" spans="1:11" s="78" customFormat="1" ht="20.25" customHeight="1" thickBot="1">
      <c r="A71" s="470" t="s">
        <v>173</v>
      </c>
      <c r="B71" s="470"/>
      <c r="C71" s="139">
        <f>C72</f>
        <v>8000</v>
      </c>
      <c r="D71" s="139">
        <f>D72</f>
        <v>0</v>
      </c>
      <c r="E71" s="139">
        <f>E72</f>
        <v>8000</v>
      </c>
      <c r="F71" s="139">
        <f>F72</f>
        <v>0</v>
      </c>
      <c r="G71" s="139">
        <f>G72</f>
        <v>0</v>
      </c>
      <c r="H71" s="139"/>
      <c r="I71" s="140"/>
      <c r="J71" s="141"/>
      <c r="K71" s="77"/>
    </row>
    <row r="72" spans="1:13" s="78" customFormat="1" ht="36" customHeight="1" thickTop="1">
      <c r="A72" s="397">
        <v>1</v>
      </c>
      <c r="B72" s="398" t="s">
        <v>174</v>
      </c>
      <c r="C72" s="399">
        <f>SUM(D72,E72,F72,G72)</f>
        <v>8000</v>
      </c>
      <c r="D72" s="399"/>
      <c r="E72" s="400">
        <v>8000</v>
      </c>
      <c r="F72" s="399"/>
      <c r="G72" s="399"/>
      <c r="H72" s="399">
        <v>26400</v>
      </c>
      <c r="I72" s="163" t="s">
        <v>162</v>
      </c>
      <c r="J72" s="396" t="s">
        <v>119</v>
      </c>
      <c r="K72" s="77"/>
      <c r="M72" s="142"/>
    </row>
    <row r="73" spans="2:11" s="35" customFormat="1" ht="13.5" customHeight="1" thickBot="1">
      <c r="B73" s="36"/>
      <c r="J73" s="37"/>
      <c r="K73" s="38"/>
    </row>
    <row r="74" spans="1:11" s="41" customFormat="1" ht="14.25" customHeight="1" thickBot="1">
      <c r="A74" s="452" t="s">
        <v>94</v>
      </c>
      <c r="B74" s="403" t="s">
        <v>95</v>
      </c>
      <c r="C74" s="403" t="s">
        <v>96</v>
      </c>
      <c r="D74" s="445" t="s">
        <v>97</v>
      </c>
      <c r="E74" s="445"/>
      <c r="F74" s="445"/>
      <c r="G74" s="445"/>
      <c r="H74" s="39"/>
      <c r="I74" s="39"/>
      <c r="J74" s="446" t="s">
        <v>98</v>
      </c>
      <c r="K74" s="40"/>
    </row>
    <row r="75" spans="1:11" s="41" customFormat="1" ht="14.25" customHeight="1" thickBot="1">
      <c r="A75" s="452"/>
      <c r="B75" s="403"/>
      <c r="C75" s="403"/>
      <c r="D75" s="447" t="s">
        <v>99</v>
      </c>
      <c r="E75" s="448" t="s">
        <v>100</v>
      </c>
      <c r="F75" s="448"/>
      <c r="G75" s="448"/>
      <c r="H75" s="42"/>
      <c r="I75" s="42"/>
      <c r="J75" s="446"/>
      <c r="K75" s="40"/>
    </row>
    <row r="76" spans="1:11" s="41" customFormat="1" ht="14.25" customHeight="1" thickBot="1">
      <c r="A76" s="452"/>
      <c r="B76" s="403"/>
      <c r="C76" s="403"/>
      <c r="D76" s="447"/>
      <c r="E76" s="449" t="s">
        <v>101</v>
      </c>
      <c r="F76" s="449" t="s">
        <v>102</v>
      </c>
      <c r="G76" s="450" t="s">
        <v>103</v>
      </c>
      <c r="H76" s="43" t="s">
        <v>104</v>
      </c>
      <c r="I76" s="451" t="s">
        <v>105</v>
      </c>
      <c r="J76" s="446"/>
      <c r="K76" s="40"/>
    </row>
    <row r="77" spans="1:11" s="41" customFormat="1" ht="14.25" customHeight="1" thickBot="1">
      <c r="A77" s="452"/>
      <c r="B77" s="403"/>
      <c r="C77" s="403"/>
      <c r="D77" s="447"/>
      <c r="E77" s="449"/>
      <c r="F77" s="449"/>
      <c r="G77" s="450"/>
      <c r="H77" s="44"/>
      <c r="I77" s="451"/>
      <c r="J77" s="446"/>
      <c r="K77" s="40"/>
    </row>
    <row r="78" spans="1:11" s="41" customFormat="1" ht="15" customHeight="1">
      <c r="A78" s="452"/>
      <c r="B78" s="403"/>
      <c r="C78" s="403"/>
      <c r="D78" s="447"/>
      <c r="E78" s="449"/>
      <c r="F78" s="449"/>
      <c r="G78" s="450"/>
      <c r="H78" s="44"/>
      <c r="I78" s="451"/>
      <c r="J78" s="446"/>
      <c r="K78" s="40"/>
    </row>
    <row r="79" spans="1:11" s="50" customFormat="1" ht="10.5" customHeight="1" thickBot="1">
      <c r="A79" s="392">
        <v>1</v>
      </c>
      <c r="B79" s="393">
        <v>2</v>
      </c>
      <c r="C79" s="393">
        <v>3</v>
      </c>
      <c r="D79" s="393">
        <v>4</v>
      </c>
      <c r="E79" s="394">
        <v>5</v>
      </c>
      <c r="F79" s="394">
        <v>6</v>
      </c>
      <c r="G79" s="394">
        <v>7</v>
      </c>
      <c r="H79" s="394">
        <v>10</v>
      </c>
      <c r="I79" s="394">
        <v>8</v>
      </c>
      <c r="J79" s="395">
        <v>9</v>
      </c>
      <c r="K79" s="49"/>
    </row>
    <row r="80" spans="1:11" s="41" customFormat="1" ht="18.75" customHeight="1" thickBot="1">
      <c r="A80" s="469" t="s">
        <v>175</v>
      </c>
      <c r="B80" s="469"/>
      <c r="C80" s="143">
        <f>SUM(C81:C81)</f>
        <v>5000</v>
      </c>
      <c r="D80" s="143">
        <f>SUM(D81:D81)</f>
        <v>0</v>
      </c>
      <c r="E80" s="143">
        <f>SUM(E81:E81)</f>
        <v>5000</v>
      </c>
      <c r="F80" s="143">
        <f>F81</f>
        <v>0</v>
      </c>
      <c r="G80" s="143">
        <f>G81</f>
        <v>0</v>
      </c>
      <c r="H80" s="143"/>
      <c r="I80" s="144"/>
      <c r="J80" s="145"/>
      <c r="K80" s="40"/>
    </row>
    <row r="81" spans="1:11" s="41" customFormat="1" ht="21.75" customHeight="1" thickBot="1" thickTop="1">
      <c r="A81" s="57">
        <v>1</v>
      </c>
      <c r="B81" s="68" t="s">
        <v>176</v>
      </c>
      <c r="C81" s="60">
        <f>SUM(D81,E81,F81,G81)</f>
        <v>5000</v>
      </c>
      <c r="D81" s="60"/>
      <c r="E81" s="61">
        <v>5000</v>
      </c>
      <c r="F81" s="60"/>
      <c r="G81" s="60"/>
      <c r="H81" s="60">
        <v>26400</v>
      </c>
      <c r="I81" s="146"/>
      <c r="J81" s="63" t="s">
        <v>159</v>
      </c>
      <c r="K81" s="40"/>
    </row>
    <row r="82" spans="1:11" s="41" customFormat="1" ht="18.75" customHeight="1" thickBot="1">
      <c r="A82" s="469" t="s">
        <v>177</v>
      </c>
      <c r="B82" s="469"/>
      <c r="C82" s="143">
        <f>SUM(C83:C83)</f>
        <v>23000</v>
      </c>
      <c r="D82" s="143">
        <f>SUM(D83:D83)</f>
        <v>0</v>
      </c>
      <c r="E82" s="143">
        <f>SUM(E83:E83)</f>
        <v>23000</v>
      </c>
      <c r="F82" s="143">
        <f>F83</f>
        <v>0</v>
      </c>
      <c r="G82" s="143">
        <f>G83</f>
        <v>0</v>
      </c>
      <c r="H82" s="143"/>
      <c r="I82" s="144"/>
      <c r="J82" s="145"/>
      <c r="K82" s="40"/>
    </row>
    <row r="83" spans="1:11" s="41" customFormat="1" ht="21.75" customHeight="1" thickBot="1" thickTop="1">
      <c r="A83" s="57">
        <v>1</v>
      </c>
      <c r="B83" s="68" t="s">
        <v>202</v>
      </c>
      <c r="C83" s="60">
        <f>SUM(D83,E83,F83,G83)</f>
        <v>23000</v>
      </c>
      <c r="D83" s="60"/>
      <c r="E83" s="61">
        <f>50000-10000-15000-2000</f>
        <v>23000</v>
      </c>
      <c r="F83" s="60"/>
      <c r="G83" s="60"/>
      <c r="H83" s="60">
        <v>26400</v>
      </c>
      <c r="I83" s="146"/>
      <c r="J83" s="63" t="s">
        <v>159</v>
      </c>
      <c r="K83" s="40"/>
    </row>
    <row r="84" spans="1:11" s="115" customFormat="1" ht="26.25" customHeight="1" thickBot="1">
      <c r="A84" s="471" t="s">
        <v>178</v>
      </c>
      <c r="B84" s="471"/>
      <c r="C84" s="147">
        <f aca="true" t="shared" si="6" ref="C84:I84">C85+C93</f>
        <v>450120</v>
      </c>
      <c r="D84" s="147">
        <f t="shared" si="6"/>
        <v>56764</v>
      </c>
      <c r="E84" s="147">
        <f t="shared" si="6"/>
        <v>393356</v>
      </c>
      <c r="F84" s="147">
        <f t="shared" si="6"/>
        <v>0</v>
      </c>
      <c r="G84" s="147">
        <f t="shared" si="6"/>
        <v>0</v>
      </c>
      <c r="H84" s="147">
        <f t="shared" si="6"/>
        <v>0</v>
      </c>
      <c r="I84" s="147">
        <f t="shared" si="6"/>
        <v>0</v>
      </c>
      <c r="J84" s="138"/>
      <c r="K84" s="114"/>
    </row>
    <row r="85" spans="1:11" s="115" customFormat="1" ht="18.75" customHeight="1" thickBot="1">
      <c r="A85" s="472" t="s">
        <v>179</v>
      </c>
      <c r="B85" s="472"/>
      <c r="C85" s="148">
        <f>C86+C87+C88+C89+C90+C91+C92</f>
        <v>423620</v>
      </c>
      <c r="D85" s="148">
        <f>D86+D87+D88+D89+D90+D91+D92</f>
        <v>56764</v>
      </c>
      <c r="E85" s="148">
        <f>E86+E87+E88+E89+E90+E91+E92</f>
        <v>366856</v>
      </c>
      <c r="F85" s="148">
        <f>F86+F87+F88+F89+F90+F91+F92</f>
        <v>0</v>
      </c>
      <c r="G85" s="148">
        <f>G86+G87+G88+G89+G90+G91+G92</f>
        <v>0</v>
      </c>
      <c r="H85" s="148">
        <f>SUM(H86:H92)</f>
        <v>0</v>
      </c>
      <c r="I85" s="148">
        <f>SUM(I86:I92)</f>
        <v>0</v>
      </c>
      <c r="J85" s="149"/>
      <c r="K85" s="114"/>
    </row>
    <row r="86" spans="1:11" s="41" customFormat="1" ht="20.25" customHeight="1" thickTop="1">
      <c r="A86" s="57">
        <v>1</v>
      </c>
      <c r="B86" s="68" t="s">
        <v>180</v>
      </c>
      <c r="C86" s="60">
        <f>SUM(D86,E86,F86,G86)</f>
        <v>15644</v>
      </c>
      <c r="D86" s="60"/>
      <c r="E86" s="60">
        <f>13825+5000-3181</f>
        <v>15644</v>
      </c>
      <c r="F86" s="60"/>
      <c r="G86" s="60"/>
      <c r="H86" s="60"/>
      <c r="I86" s="137"/>
      <c r="J86" s="453" t="s">
        <v>109</v>
      </c>
      <c r="K86" s="40"/>
    </row>
    <row r="87" spans="1:11" s="41" customFormat="1" ht="20.25" customHeight="1">
      <c r="A87" s="150">
        <v>2</v>
      </c>
      <c r="B87" s="68" t="s">
        <v>181</v>
      </c>
      <c r="C87" s="60">
        <f aca="true" t="shared" si="7" ref="C87:C92">SUM(D87,E87,F87,G87,J87)</f>
        <v>74486</v>
      </c>
      <c r="D87" s="59"/>
      <c r="E87" s="59">
        <f>100000-65000+15000-8000-2800+35286</f>
        <v>74486</v>
      </c>
      <c r="F87" s="59"/>
      <c r="G87" s="59"/>
      <c r="H87" s="59"/>
      <c r="I87" s="151"/>
      <c r="J87" s="455"/>
      <c r="K87" s="40"/>
    </row>
    <row r="88" spans="1:11" s="41" customFormat="1" ht="20.25" customHeight="1" thickBot="1">
      <c r="A88" s="57">
        <v>3</v>
      </c>
      <c r="B88" s="68" t="s">
        <v>182</v>
      </c>
      <c r="C88" s="60">
        <f t="shared" si="7"/>
        <v>17000</v>
      </c>
      <c r="D88" s="59"/>
      <c r="E88" s="59">
        <f>20000-3000</f>
        <v>17000</v>
      </c>
      <c r="F88" s="59"/>
      <c r="G88" s="59"/>
      <c r="H88" s="59"/>
      <c r="I88" s="151"/>
      <c r="J88" s="454"/>
      <c r="K88" s="40"/>
    </row>
    <row r="89" spans="1:11" s="41" customFormat="1" ht="19.5" customHeight="1" thickTop="1">
      <c r="A89" s="150">
        <v>4</v>
      </c>
      <c r="B89" s="68" t="s">
        <v>183</v>
      </c>
      <c r="C89" s="60">
        <f t="shared" si="7"/>
        <v>7000</v>
      </c>
      <c r="D89" s="60"/>
      <c r="E89" s="60">
        <v>7000</v>
      </c>
      <c r="F89" s="60"/>
      <c r="G89" s="60"/>
      <c r="H89" s="60"/>
      <c r="I89" s="137"/>
      <c r="J89" s="453" t="s">
        <v>109</v>
      </c>
      <c r="K89" s="40"/>
    </row>
    <row r="90" spans="1:11" s="41" customFormat="1" ht="21.75" customHeight="1">
      <c r="A90" s="150">
        <v>5</v>
      </c>
      <c r="B90" s="68" t="s">
        <v>184</v>
      </c>
      <c r="C90" s="60">
        <f t="shared" si="7"/>
        <v>200800</v>
      </c>
      <c r="D90" s="60"/>
      <c r="E90" s="60">
        <f>190000+8000+2800</f>
        <v>200800</v>
      </c>
      <c r="F90" s="60"/>
      <c r="G90" s="60"/>
      <c r="H90" s="60"/>
      <c r="I90" s="137"/>
      <c r="J90" s="455"/>
      <c r="K90" s="40"/>
    </row>
    <row r="91" spans="1:11" s="41" customFormat="1" ht="21.75" customHeight="1">
      <c r="A91" s="150">
        <v>6</v>
      </c>
      <c r="B91" s="68" t="s">
        <v>448</v>
      </c>
      <c r="C91" s="60">
        <f t="shared" si="7"/>
        <v>21875</v>
      </c>
      <c r="D91" s="60"/>
      <c r="E91" s="60">
        <f>10000+24000-16000+6875-2800-200</f>
        <v>21875</v>
      </c>
      <c r="F91" s="60"/>
      <c r="G91" s="60"/>
      <c r="H91" s="60"/>
      <c r="I91" s="137"/>
      <c r="J91" s="454"/>
      <c r="K91" s="40"/>
    </row>
    <row r="92" spans="1:11" s="41" customFormat="1" ht="30" customHeight="1" thickBot="1">
      <c r="A92" s="150">
        <v>7</v>
      </c>
      <c r="B92" s="68" t="s">
        <v>185</v>
      </c>
      <c r="C92" s="60">
        <f t="shared" si="7"/>
        <v>86815</v>
      </c>
      <c r="D92" s="60">
        <f>96025-39261</f>
        <v>56764</v>
      </c>
      <c r="E92" s="60">
        <f>60717-30666</f>
        <v>30051</v>
      </c>
      <c r="F92" s="60"/>
      <c r="G92" s="60"/>
      <c r="H92" s="60"/>
      <c r="I92" s="132" t="s">
        <v>186</v>
      </c>
      <c r="J92" s="152" t="s">
        <v>187</v>
      </c>
      <c r="K92" s="40"/>
    </row>
    <row r="93" spans="1:11" s="115" customFormat="1" ht="23.25" customHeight="1" thickBot="1">
      <c r="A93" s="468" t="s">
        <v>188</v>
      </c>
      <c r="B93" s="468"/>
      <c r="C93" s="148">
        <f aca="true" t="shared" si="8" ref="C93:I93">SUM(C94:C97)</f>
        <v>26500</v>
      </c>
      <c r="D93" s="148">
        <f t="shared" si="8"/>
        <v>0</v>
      </c>
      <c r="E93" s="148">
        <f t="shared" si="8"/>
        <v>26500</v>
      </c>
      <c r="F93" s="148">
        <f t="shared" si="8"/>
        <v>0</v>
      </c>
      <c r="G93" s="148">
        <f t="shared" si="8"/>
        <v>0</v>
      </c>
      <c r="H93" s="148">
        <f t="shared" si="8"/>
        <v>0</v>
      </c>
      <c r="I93" s="148">
        <f t="shared" si="8"/>
        <v>0</v>
      </c>
      <c r="J93" s="149"/>
      <c r="K93" s="114"/>
    </row>
    <row r="94" spans="1:11" s="115" customFormat="1" ht="18.75" customHeight="1" thickBot="1" thickTop="1">
      <c r="A94" s="153">
        <v>1</v>
      </c>
      <c r="B94" s="134" t="s">
        <v>189</v>
      </c>
      <c r="C94" s="60">
        <f>SUM(D94,E94,F94,G94,J94)</f>
        <v>4500</v>
      </c>
      <c r="D94" s="154"/>
      <c r="E94" s="155">
        <v>4500</v>
      </c>
      <c r="F94" s="154"/>
      <c r="G94" s="156"/>
      <c r="H94" s="156"/>
      <c r="I94" s="156"/>
      <c r="J94" s="460" t="s">
        <v>109</v>
      </c>
      <c r="K94" s="114"/>
    </row>
    <row r="95" spans="1:11" s="41" customFormat="1" ht="18.75" customHeight="1" thickBot="1" thickTop="1">
      <c r="A95" s="57">
        <v>2</v>
      </c>
      <c r="B95" s="69" t="s">
        <v>190</v>
      </c>
      <c r="C95" s="60">
        <f>SUM(D95,E95,F95,G95,J95)</f>
        <v>8000</v>
      </c>
      <c r="D95" s="60"/>
      <c r="E95" s="60">
        <v>8000</v>
      </c>
      <c r="F95" s="60"/>
      <c r="G95" s="60"/>
      <c r="H95" s="60"/>
      <c r="I95" s="137"/>
      <c r="J95" s="460"/>
      <c r="K95" s="40"/>
    </row>
    <row r="96" spans="1:11" s="41" customFormat="1" ht="18.75" customHeight="1" thickBot="1" thickTop="1">
      <c r="A96" s="57">
        <v>3</v>
      </c>
      <c r="B96" s="124" t="s">
        <v>191</v>
      </c>
      <c r="C96" s="60">
        <f>SUM(D96,E96,F96,G96,J96)</f>
        <v>9000</v>
      </c>
      <c r="D96" s="60"/>
      <c r="E96" s="60">
        <v>9000</v>
      </c>
      <c r="F96" s="60"/>
      <c r="G96" s="60"/>
      <c r="H96" s="60"/>
      <c r="I96" s="137"/>
      <c r="J96" s="460"/>
      <c r="K96" s="40"/>
    </row>
    <row r="97" spans="1:11" s="41" customFormat="1" ht="18.75" customHeight="1" thickBot="1" thickTop="1">
      <c r="A97" s="157">
        <v>4</v>
      </c>
      <c r="B97" s="158" t="s">
        <v>192</v>
      </c>
      <c r="C97" s="159">
        <f>SUM(D97,E97,F97,G97,J97)</f>
        <v>5000</v>
      </c>
      <c r="D97" s="159"/>
      <c r="E97" s="159">
        <v>5000</v>
      </c>
      <c r="F97" s="159"/>
      <c r="G97" s="159"/>
      <c r="H97" s="159"/>
      <c r="I97" s="160"/>
      <c r="J97" s="461"/>
      <c r="K97" s="40"/>
    </row>
    <row r="98" spans="1:11" s="41" customFormat="1" ht="23.25" customHeight="1" thickBot="1">
      <c r="A98" s="458" t="s">
        <v>193</v>
      </c>
      <c r="B98" s="459"/>
      <c r="C98" s="51">
        <f aca="true" t="shared" si="9" ref="C98:H98">C99</f>
        <v>139000</v>
      </c>
      <c r="D98" s="51">
        <f t="shared" si="9"/>
        <v>0</v>
      </c>
      <c r="E98" s="51">
        <f t="shared" si="9"/>
        <v>139000</v>
      </c>
      <c r="F98" s="51">
        <f t="shared" si="9"/>
        <v>0</v>
      </c>
      <c r="G98" s="51">
        <f t="shared" si="9"/>
        <v>0</v>
      </c>
      <c r="H98" s="51">
        <f t="shared" si="9"/>
        <v>0</v>
      </c>
      <c r="I98" s="51"/>
      <c r="J98" s="113"/>
      <c r="K98" s="40"/>
    </row>
    <row r="99" spans="1:11" s="41" customFormat="1" ht="23.25" customHeight="1" thickBot="1">
      <c r="A99" s="467" t="s">
        <v>194</v>
      </c>
      <c r="B99" s="467"/>
      <c r="C99" s="54">
        <f>C100+C103+C101+C102</f>
        <v>139000</v>
      </c>
      <c r="D99" s="54">
        <f>D100+D103+D101+D102</f>
        <v>0</v>
      </c>
      <c r="E99" s="54">
        <f>E100+E103+E101+E102</f>
        <v>139000</v>
      </c>
      <c r="F99" s="54">
        <f>F100+F103</f>
        <v>0</v>
      </c>
      <c r="G99" s="54">
        <f>G100+G103</f>
        <v>0</v>
      </c>
      <c r="H99" s="54">
        <f>H100+H103</f>
        <v>0</v>
      </c>
      <c r="I99" s="54"/>
      <c r="J99" s="161"/>
      <c r="K99" s="40"/>
    </row>
    <row r="100" spans="1:11" s="41" customFormat="1" ht="21.75" customHeight="1" thickTop="1">
      <c r="A100" s="162">
        <v>1</v>
      </c>
      <c r="B100" s="124" t="s">
        <v>195</v>
      </c>
      <c r="C100" s="121">
        <f>SUM(D100,E100,F100,G100,J100)</f>
        <v>118390</v>
      </c>
      <c r="D100" s="121"/>
      <c r="E100" s="121">
        <f>139000-E101-E102</f>
        <v>118390</v>
      </c>
      <c r="F100" s="121"/>
      <c r="G100" s="121"/>
      <c r="H100" s="121"/>
      <c r="I100" s="163"/>
      <c r="J100" s="453" t="s">
        <v>109</v>
      </c>
      <c r="K100" s="40"/>
    </row>
    <row r="101" spans="1:11" s="41" customFormat="1" ht="29.25" customHeight="1">
      <c r="A101" s="164">
        <v>2</v>
      </c>
      <c r="B101" s="124" t="s">
        <v>196</v>
      </c>
      <c r="C101" s="127">
        <f>SUM(D101,E101,F101,G101,J101)</f>
        <v>12000</v>
      </c>
      <c r="D101" s="127"/>
      <c r="E101" s="127">
        <v>12000</v>
      </c>
      <c r="F101" s="127"/>
      <c r="G101" s="127"/>
      <c r="H101" s="127"/>
      <c r="I101" s="165"/>
      <c r="J101" s="454"/>
      <c r="K101" s="40"/>
    </row>
    <row r="102" spans="1:11" s="41" customFormat="1" ht="30.75" customHeight="1" thickBot="1">
      <c r="A102" s="164">
        <v>3</v>
      </c>
      <c r="B102" s="124" t="s">
        <v>197</v>
      </c>
      <c r="C102" s="127">
        <f>SUM(D102,E102,F102,G102,J102)</f>
        <v>8610</v>
      </c>
      <c r="D102" s="127"/>
      <c r="E102" s="127">
        <v>8610</v>
      </c>
      <c r="F102" s="127"/>
      <c r="G102" s="127"/>
      <c r="H102" s="127"/>
      <c r="I102" s="132" t="s">
        <v>198</v>
      </c>
      <c r="J102" s="166" t="s">
        <v>119</v>
      </c>
      <c r="K102" s="40"/>
    </row>
    <row r="103" spans="1:11" s="41" customFormat="1" ht="20.25" customHeight="1" hidden="1" thickBot="1">
      <c r="A103" s="57">
        <v>4</v>
      </c>
      <c r="B103" s="167" t="s">
        <v>199</v>
      </c>
      <c r="C103" s="60">
        <f>SUM(D103,E103,F103,G103,J103)</f>
        <v>0</v>
      </c>
      <c r="D103" s="60"/>
      <c r="E103" s="60"/>
      <c r="F103" s="60"/>
      <c r="G103" s="60"/>
      <c r="H103" s="60"/>
      <c r="I103" s="132"/>
      <c r="J103" s="168" t="s">
        <v>159</v>
      </c>
      <c r="K103" s="40"/>
    </row>
    <row r="104" spans="1:11" s="41" customFormat="1" ht="22.5" customHeight="1" thickBot="1">
      <c r="A104" s="169"/>
      <c r="B104" s="170" t="s">
        <v>200</v>
      </c>
      <c r="C104" s="171">
        <f>C98+C84+C70+C63+C30+C27+C9+C54+C51+C67+C48</f>
        <v>2056006.18</v>
      </c>
      <c r="D104" s="171">
        <f>D98+D84+D70+D63+D30+D27+D9+D54+D51+D67+D48</f>
        <v>56768</v>
      </c>
      <c r="E104" s="171">
        <f>E98+E84+E70+E63+E30+E27+E9+E54+E51+E67+E48</f>
        <v>1806242.18</v>
      </c>
      <c r="F104" s="171">
        <f>F98+F84+F70+F63+F30+F27+F9+F54+F51+F67+F48</f>
        <v>40000</v>
      </c>
      <c r="G104" s="171">
        <f>G98+G84+G70+G63+G30+G27+G9+G54+G51+G67+G48</f>
        <v>176400</v>
      </c>
      <c r="H104" s="172" t="e">
        <f>H98+H84+H70+H63+H30+H27+H9</f>
        <v>#REF!</v>
      </c>
      <c r="I104" s="172">
        <f>I9++I27+I30+I70+I84+I63+I98</f>
        <v>0</v>
      </c>
      <c r="J104" s="173"/>
      <c r="K104" s="40"/>
    </row>
    <row r="105" spans="1:17" s="179" customFormat="1" ht="14.25" customHeight="1">
      <c r="A105" s="174"/>
      <c r="B105" s="175"/>
      <c r="C105" s="176"/>
      <c r="D105" s="176"/>
      <c r="E105" s="176"/>
      <c r="F105" s="177"/>
      <c r="G105" s="177"/>
      <c r="H105" s="175"/>
      <c r="I105" s="175"/>
      <c r="J105" s="178"/>
      <c r="K105" s="176"/>
      <c r="L105" s="176"/>
      <c r="M105" s="176"/>
      <c r="N105" s="176"/>
      <c r="O105" s="176"/>
      <c r="P105" s="176"/>
      <c r="Q105" s="176"/>
    </row>
    <row r="106" spans="1:17" ht="18.75" customHeight="1">
      <c r="A106" s="180"/>
      <c r="B106" s="180"/>
      <c r="C106" s="181"/>
      <c r="D106" s="180"/>
      <c r="E106" s="180"/>
      <c r="F106" s="182"/>
      <c r="G106" s="183"/>
      <c r="H106" s="180"/>
      <c r="I106" s="184"/>
      <c r="J106" s="185"/>
      <c r="K106" s="180"/>
      <c r="L106" s="180"/>
      <c r="M106" s="180"/>
      <c r="N106" s="180"/>
      <c r="O106" s="180"/>
      <c r="P106" s="180"/>
      <c r="Q106" s="180"/>
    </row>
    <row r="107" spans="1:17" ht="18.75" customHeight="1">
      <c r="A107" s="180"/>
      <c r="B107" s="180"/>
      <c r="C107" s="181"/>
      <c r="D107" s="180"/>
      <c r="E107" s="180"/>
      <c r="F107" s="180"/>
      <c r="G107" s="180"/>
      <c r="H107" s="180"/>
      <c r="I107" s="180"/>
      <c r="J107" s="185"/>
      <c r="K107" s="180"/>
      <c r="L107" s="180"/>
      <c r="M107" s="180"/>
      <c r="N107" s="180"/>
      <c r="O107" s="180"/>
      <c r="P107" s="180"/>
      <c r="Q107" s="180"/>
    </row>
    <row r="108" spans="1:17" ht="18.75" customHeight="1">
      <c r="A108" s="180"/>
      <c r="B108" s="180"/>
      <c r="C108" s="177"/>
      <c r="D108" s="187"/>
      <c r="E108" s="187"/>
      <c r="F108" s="180"/>
      <c r="G108" s="180"/>
      <c r="H108" s="180"/>
      <c r="I108" s="180"/>
      <c r="J108" s="185"/>
      <c r="K108" s="180"/>
      <c r="L108" s="180"/>
      <c r="M108" s="180"/>
      <c r="N108" s="180"/>
      <c r="O108" s="180"/>
      <c r="P108" s="180"/>
      <c r="Q108" s="180"/>
    </row>
  </sheetData>
  <sheetProtection/>
  <mergeCells count="76">
    <mergeCell ref="A1:J1"/>
    <mergeCell ref="A3:A7"/>
    <mergeCell ref="B3:B7"/>
    <mergeCell ref="C3:C7"/>
    <mergeCell ref="D3:G3"/>
    <mergeCell ref="J3:J7"/>
    <mergeCell ref="D4:D7"/>
    <mergeCell ref="E4:G4"/>
    <mergeCell ref="E5:E7"/>
    <mergeCell ref="F5:F7"/>
    <mergeCell ref="G5:G7"/>
    <mergeCell ref="I5:I7"/>
    <mergeCell ref="A9:B9"/>
    <mergeCell ref="A10:B10"/>
    <mergeCell ref="A30:B30"/>
    <mergeCell ref="A31:B31"/>
    <mergeCell ref="A43:B43"/>
    <mergeCell ref="A70:B70"/>
    <mergeCell ref="A51:B51"/>
    <mergeCell ref="A52:B52"/>
    <mergeCell ref="A67:B67"/>
    <mergeCell ref="A68:B68"/>
    <mergeCell ref="A48:B48"/>
    <mergeCell ref="A49:B49"/>
    <mergeCell ref="J11:J16"/>
    <mergeCell ref="A27:B27"/>
    <mergeCell ref="A28:B28"/>
    <mergeCell ref="J17:J22"/>
    <mergeCell ref="I17:I22"/>
    <mergeCell ref="A24:B24"/>
    <mergeCell ref="J23:J24"/>
    <mergeCell ref="I25:I26"/>
    <mergeCell ref="J25:J26"/>
    <mergeCell ref="A64:B64"/>
    <mergeCell ref="A93:B93"/>
    <mergeCell ref="A82:B82"/>
    <mergeCell ref="A71:B71"/>
    <mergeCell ref="A80:B80"/>
    <mergeCell ref="A84:B84"/>
    <mergeCell ref="A85:B85"/>
    <mergeCell ref="A74:A78"/>
    <mergeCell ref="B74:B78"/>
    <mergeCell ref="J32:J34"/>
    <mergeCell ref="J100:J101"/>
    <mergeCell ref="A61:B61"/>
    <mergeCell ref="A98:B98"/>
    <mergeCell ref="J94:J97"/>
    <mergeCell ref="A54:B54"/>
    <mergeCell ref="A55:B55"/>
    <mergeCell ref="I56:I60"/>
    <mergeCell ref="A99:B99"/>
    <mergeCell ref="A63:B63"/>
    <mergeCell ref="J44:J45"/>
    <mergeCell ref="J46:J47"/>
    <mergeCell ref="J86:J88"/>
    <mergeCell ref="J89:J91"/>
    <mergeCell ref="A37:A41"/>
    <mergeCell ref="B37:B41"/>
    <mergeCell ref="C37:C41"/>
    <mergeCell ref="D37:G37"/>
    <mergeCell ref="J37:J41"/>
    <mergeCell ref="D38:D41"/>
    <mergeCell ref="E38:G38"/>
    <mergeCell ref="E39:E41"/>
    <mergeCell ref="F39:F41"/>
    <mergeCell ref="G39:G41"/>
    <mergeCell ref="I39:I41"/>
    <mergeCell ref="C74:C78"/>
    <mergeCell ref="D74:G74"/>
    <mergeCell ref="J74:J78"/>
    <mergeCell ref="D75:D78"/>
    <mergeCell ref="E75:G75"/>
    <mergeCell ref="E76:E78"/>
    <mergeCell ref="F76:F78"/>
    <mergeCell ref="G76:G78"/>
    <mergeCell ref="I76:I78"/>
  </mergeCells>
  <printOptions horizontalCentered="1"/>
  <pageMargins left="0.33" right="0.5511811023622047" top="0.68" bottom="0.33" header="0.15748031496062992" footer="0.15748031496062992"/>
  <pageSetup fitToHeight="2" horizontalDpi="600" verticalDpi="600" orientation="landscape" paperSize="9" scale="70" r:id="rId1"/>
  <headerFooter alignWithMargins="0">
    <oddHeader>&amp;R&amp;"Arial,Pogrubiony"&amp;9Załącznik Nr 3&amp;"Arial,Normalny"
do Uchwały Nr XXVII/169/2012 
Rady Gminy Miłkowice
z dnia 18 grudnia 2012r.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K76"/>
  <sheetViews>
    <sheetView zoomScale="80" zoomScaleNormal="80" workbookViewId="0" topLeftCell="C1">
      <selection activeCell="M36" sqref="M36"/>
    </sheetView>
  </sheetViews>
  <sheetFormatPr defaultColWidth="9.33203125" defaultRowHeight="12.75"/>
  <cols>
    <col min="1" max="1" width="4.16015625" style="254" customWidth="1"/>
    <col min="2" max="2" width="76.16015625" style="259" customWidth="1"/>
    <col min="3" max="3" width="13" style="260" customWidth="1"/>
    <col min="4" max="4" width="14" style="261" customWidth="1"/>
    <col min="5" max="5" width="11.83203125" style="261" customWidth="1"/>
    <col min="6" max="6" width="30.83203125" style="261" customWidth="1"/>
    <col min="7" max="8" width="19.83203125" style="261" customWidth="1"/>
    <col min="9" max="9" width="19.83203125" style="262" customWidth="1"/>
    <col min="10" max="10" width="13.83203125" style="258" customWidth="1"/>
    <col min="11" max="16384" width="10.66015625" style="258" customWidth="1"/>
  </cols>
  <sheetData>
    <row r="1" spans="1:9" s="189" customFormat="1" ht="21" customHeight="1">
      <c r="A1" s="499" t="s">
        <v>206</v>
      </c>
      <c r="B1" s="499"/>
      <c r="C1" s="499"/>
      <c r="D1" s="499"/>
      <c r="E1" s="499"/>
      <c r="F1" s="499"/>
      <c r="G1" s="499"/>
      <c r="H1" s="499"/>
      <c r="I1" s="499"/>
    </row>
    <row r="2" spans="1:9" s="189" customFormat="1" ht="9" customHeight="1" thickBot="1">
      <c r="A2" s="190"/>
      <c r="B2" s="190"/>
      <c r="C2" s="190"/>
      <c r="D2" s="190"/>
      <c r="E2" s="190"/>
      <c r="F2" s="190"/>
      <c r="G2" s="190"/>
      <c r="H2" s="190"/>
      <c r="I2" s="191"/>
    </row>
    <row r="3" spans="1:9" s="189" customFormat="1" ht="27.75" customHeight="1">
      <c r="A3" s="500" t="s">
        <v>207</v>
      </c>
      <c r="B3" s="503" t="s">
        <v>208</v>
      </c>
      <c r="C3" s="503" t="s">
        <v>209</v>
      </c>
      <c r="D3" s="503" t="s">
        <v>210</v>
      </c>
      <c r="E3" s="509" t="s">
        <v>211</v>
      </c>
      <c r="F3" s="506" t="s">
        <v>212</v>
      </c>
      <c r="G3" s="507"/>
      <c r="H3" s="508"/>
      <c r="I3" s="511" t="s">
        <v>213</v>
      </c>
    </row>
    <row r="4" spans="1:9" s="189" customFormat="1" ht="21" customHeight="1">
      <c r="A4" s="501"/>
      <c r="B4" s="504"/>
      <c r="C4" s="504"/>
      <c r="D4" s="504"/>
      <c r="E4" s="510"/>
      <c r="F4" s="504" t="s">
        <v>214</v>
      </c>
      <c r="G4" s="504" t="s">
        <v>215</v>
      </c>
      <c r="H4" s="497" t="s">
        <v>216</v>
      </c>
      <c r="I4" s="512"/>
    </row>
    <row r="5" spans="1:9" s="189" customFormat="1" ht="21" customHeight="1" thickBot="1">
      <c r="A5" s="502"/>
      <c r="B5" s="505"/>
      <c r="C5" s="505"/>
      <c r="D5" s="505"/>
      <c r="E5" s="498"/>
      <c r="F5" s="505"/>
      <c r="G5" s="505"/>
      <c r="H5" s="498"/>
      <c r="I5" s="513"/>
    </row>
    <row r="6" spans="1:9" s="196" customFormat="1" ht="8.25" customHeight="1" thickBot="1">
      <c r="A6" s="192">
        <v>1</v>
      </c>
      <c r="B6" s="193">
        <v>2</v>
      </c>
      <c r="C6" s="193">
        <v>3</v>
      </c>
      <c r="D6" s="193">
        <v>4</v>
      </c>
      <c r="E6" s="193">
        <v>5</v>
      </c>
      <c r="F6" s="193">
        <v>6</v>
      </c>
      <c r="G6" s="194">
        <v>7</v>
      </c>
      <c r="H6" s="194">
        <v>8</v>
      </c>
      <c r="I6" s="195">
        <v>9</v>
      </c>
    </row>
    <row r="7" spans="1:9" s="201" customFormat="1" ht="24" customHeight="1" thickBot="1">
      <c r="A7" s="197"/>
      <c r="B7" s="198" t="s">
        <v>217</v>
      </c>
      <c r="C7" s="199" t="s">
        <v>218</v>
      </c>
      <c r="D7" s="199" t="s">
        <v>218</v>
      </c>
      <c r="E7" s="199"/>
      <c r="F7" s="199" t="s">
        <v>218</v>
      </c>
      <c r="G7" s="200">
        <f>G8+G18+G23</f>
        <v>287566</v>
      </c>
      <c r="H7" s="200">
        <f>H8+H18</f>
        <v>0</v>
      </c>
      <c r="I7" s="200">
        <f>I8+I18+I23</f>
        <v>287566</v>
      </c>
    </row>
    <row r="8" spans="1:9" s="201" customFormat="1" ht="18.75" customHeight="1" hidden="1">
      <c r="A8" s="202" t="s">
        <v>219</v>
      </c>
      <c r="B8" s="203" t="s">
        <v>246</v>
      </c>
      <c r="C8" s="204"/>
      <c r="D8" s="205" t="s">
        <v>220</v>
      </c>
      <c r="E8" s="493" t="s">
        <v>221</v>
      </c>
      <c r="F8" s="206" t="s">
        <v>222</v>
      </c>
      <c r="G8" s="207">
        <f>SUM(G9:G12)</f>
        <v>0</v>
      </c>
      <c r="H8" s="207">
        <f>SUM(H9:H12)</f>
        <v>0</v>
      </c>
      <c r="I8" s="208">
        <f>SUM(I9:I12)</f>
        <v>0</v>
      </c>
    </row>
    <row r="9" spans="1:9" s="201" customFormat="1" ht="29.25" customHeight="1" hidden="1">
      <c r="A9" s="209"/>
      <c r="B9" s="210" t="s">
        <v>247</v>
      </c>
      <c r="C9" s="204"/>
      <c r="D9" s="211"/>
      <c r="E9" s="494"/>
      <c r="F9" s="212" t="s">
        <v>223</v>
      </c>
      <c r="G9" s="213"/>
      <c r="H9" s="213"/>
      <c r="I9" s="214"/>
    </row>
    <row r="10" spans="1:9" s="201" customFormat="1" ht="20.25" customHeight="1" hidden="1">
      <c r="A10" s="209"/>
      <c r="B10" s="210" t="s">
        <v>248</v>
      </c>
      <c r="C10" s="204"/>
      <c r="D10" s="211"/>
      <c r="E10" s="494"/>
      <c r="F10" s="212" t="s">
        <v>224</v>
      </c>
      <c r="G10" s="213"/>
      <c r="H10" s="213"/>
      <c r="I10" s="214"/>
    </row>
    <row r="11" spans="1:9" s="201" customFormat="1" ht="34.5" customHeight="1" hidden="1">
      <c r="A11" s="209"/>
      <c r="B11" s="489" t="s">
        <v>249</v>
      </c>
      <c r="C11" s="204"/>
      <c r="D11" s="211"/>
      <c r="E11" s="494"/>
      <c r="F11" s="212" t="s">
        <v>225</v>
      </c>
      <c r="G11" s="213"/>
      <c r="H11" s="213"/>
      <c r="I11" s="214"/>
    </row>
    <row r="12" spans="1:9" s="201" customFormat="1" ht="34.5" customHeight="1" hidden="1" thickBot="1">
      <c r="A12" s="215"/>
      <c r="B12" s="490"/>
      <c r="C12" s="216"/>
      <c r="D12" s="217"/>
      <c r="E12" s="495"/>
      <c r="F12" s="218" t="s">
        <v>226</v>
      </c>
      <c r="G12" s="219"/>
      <c r="H12" s="219"/>
      <c r="I12" s="220"/>
    </row>
    <row r="13" spans="1:9" s="201" customFormat="1" ht="18.75" customHeight="1" hidden="1">
      <c r="A13" s="202" t="s">
        <v>227</v>
      </c>
      <c r="B13" s="203" t="s">
        <v>246</v>
      </c>
      <c r="C13" s="204"/>
      <c r="D13" s="205" t="s">
        <v>228</v>
      </c>
      <c r="E13" s="493" t="s">
        <v>229</v>
      </c>
      <c r="F13" s="206" t="s">
        <v>222</v>
      </c>
      <c r="G13" s="207">
        <f>SUM(G14:G17)</f>
        <v>190000</v>
      </c>
      <c r="H13" s="207"/>
      <c r="I13" s="208">
        <f>SUM(I14:I17)</f>
        <v>190000</v>
      </c>
    </row>
    <row r="14" spans="1:9" s="201" customFormat="1" ht="29.25" customHeight="1" hidden="1">
      <c r="A14" s="209"/>
      <c r="B14" s="210" t="s">
        <v>250</v>
      </c>
      <c r="C14" s="204"/>
      <c r="D14" s="211"/>
      <c r="E14" s="494"/>
      <c r="F14" s="212" t="s">
        <v>223</v>
      </c>
      <c r="G14" s="213">
        <f>SUM(H14:I14)</f>
        <v>87000</v>
      </c>
      <c r="H14" s="213"/>
      <c r="I14" s="214">
        <v>87000</v>
      </c>
    </row>
    <row r="15" spans="1:9" s="201" customFormat="1" ht="23.25" customHeight="1" hidden="1">
      <c r="A15" s="209"/>
      <c r="B15" s="210" t="s">
        <v>251</v>
      </c>
      <c r="C15" s="204"/>
      <c r="D15" s="211"/>
      <c r="E15" s="494"/>
      <c r="F15" s="212" t="s">
        <v>224</v>
      </c>
      <c r="G15" s="213"/>
      <c r="H15" s="213"/>
      <c r="I15" s="214"/>
    </row>
    <row r="16" spans="1:9" s="201" customFormat="1" ht="18.75" customHeight="1" hidden="1">
      <c r="A16" s="209"/>
      <c r="B16" s="489" t="s">
        <v>252</v>
      </c>
      <c r="C16" s="204"/>
      <c r="D16" s="211"/>
      <c r="E16" s="494"/>
      <c r="F16" s="212" t="s">
        <v>225</v>
      </c>
      <c r="G16" s="213"/>
      <c r="H16" s="213"/>
      <c r="I16" s="214"/>
    </row>
    <row r="17" spans="1:9" s="201" customFormat="1" ht="20.25" customHeight="1" hidden="1" thickBot="1">
      <c r="A17" s="215"/>
      <c r="B17" s="496"/>
      <c r="C17" s="216"/>
      <c r="D17" s="217"/>
      <c r="E17" s="495"/>
      <c r="F17" s="218" t="s">
        <v>226</v>
      </c>
      <c r="G17" s="219">
        <f>I17</f>
        <v>103000</v>
      </c>
      <c r="H17" s="219"/>
      <c r="I17" s="220">
        <v>103000</v>
      </c>
    </row>
    <row r="18" spans="1:9" s="201" customFormat="1" ht="18.75" customHeight="1">
      <c r="A18" s="202" t="s">
        <v>219</v>
      </c>
      <c r="B18" s="203" t="s">
        <v>246</v>
      </c>
      <c r="C18" s="204"/>
      <c r="D18" s="205" t="s">
        <v>228</v>
      </c>
      <c r="E18" s="493" t="s">
        <v>229</v>
      </c>
      <c r="F18" s="206" t="s">
        <v>222</v>
      </c>
      <c r="G18" s="207">
        <f>SUM(G19:G22)</f>
        <v>86815</v>
      </c>
      <c r="H18" s="207"/>
      <c r="I18" s="208">
        <f>SUM(I19:I22)</f>
        <v>86815</v>
      </c>
    </row>
    <row r="19" spans="1:9" s="201" customFormat="1" ht="29.25" customHeight="1">
      <c r="A19" s="209"/>
      <c r="B19" s="210" t="s">
        <v>250</v>
      </c>
      <c r="C19" s="204"/>
      <c r="D19" s="211"/>
      <c r="E19" s="494"/>
      <c r="F19" s="212" t="s">
        <v>223</v>
      </c>
      <c r="G19" s="213">
        <f>SUM(H19:I19)</f>
        <v>30051</v>
      </c>
      <c r="H19" s="213"/>
      <c r="I19" s="214">
        <v>30051</v>
      </c>
    </row>
    <row r="20" spans="1:9" s="201" customFormat="1" ht="23.25" customHeight="1">
      <c r="A20" s="209"/>
      <c r="B20" s="210" t="s">
        <v>251</v>
      </c>
      <c r="C20" s="204"/>
      <c r="D20" s="211"/>
      <c r="E20" s="494"/>
      <c r="F20" s="212" t="s">
        <v>224</v>
      </c>
      <c r="G20" s="213"/>
      <c r="H20" s="213"/>
      <c r="I20" s="214"/>
    </row>
    <row r="21" spans="1:9" s="201" customFormat="1" ht="18.75" customHeight="1">
      <c r="A21" s="209"/>
      <c r="B21" s="489" t="s">
        <v>253</v>
      </c>
      <c r="C21" s="204"/>
      <c r="D21" s="211"/>
      <c r="E21" s="494"/>
      <c r="F21" s="212" t="s">
        <v>225</v>
      </c>
      <c r="G21" s="213"/>
      <c r="H21" s="213"/>
      <c r="I21" s="214"/>
    </row>
    <row r="22" spans="1:9" s="201" customFormat="1" ht="20.25" customHeight="1" thickBot="1">
      <c r="A22" s="215"/>
      <c r="B22" s="496"/>
      <c r="C22" s="216"/>
      <c r="D22" s="217"/>
      <c r="E22" s="495"/>
      <c r="F22" s="218" t="s">
        <v>226</v>
      </c>
      <c r="G22" s="219">
        <f>I22</f>
        <v>56764</v>
      </c>
      <c r="H22" s="219"/>
      <c r="I22" s="220">
        <v>56764</v>
      </c>
    </row>
    <row r="23" spans="1:9" s="201" customFormat="1" ht="18.75" customHeight="1">
      <c r="A23" s="202" t="s">
        <v>227</v>
      </c>
      <c r="B23" s="203" t="s">
        <v>246</v>
      </c>
      <c r="C23" s="204"/>
      <c r="D23" s="205" t="s">
        <v>228</v>
      </c>
      <c r="E23" s="493" t="s">
        <v>229</v>
      </c>
      <c r="F23" s="206" t="s">
        <v>222</v>
      </c>
      <c r="G23" s="207">
        <f>SUM(G24:G27)</f>
        <v>200751</v>
      </c>
      <c r="H23" s="207"/>
      <c r="I23" s="208">
        <f>SUM(I24:I27)</f>
        <v>200751</v>
      </c>
    </row>
    <row r="24" spans="1:9" s="201" customFormat="1" ht="29.25" customHeight="1">
      <c r="A24" s="209"/>
      <c r="B24" s="210" t="s">
        <v>250</v>
      </c>
      <c r="C24" s="204"/>
      <c r="D24" s="211"/>
      <c r="E24" s="494"/>
      <c r="F24" s="212" t="s">
        <v>223</v>
      </c>
      <c r="G24" s="213">
        <f>SUM(H24:I24)</f>
        <v>96776</v>
      </c>
      <c r="H24" s="213"/>
      <c r="I24" s="214">
        <f>96776</f>
        <v>96776</v>
      </c>
    </row>
    <row r="25" spans="1:9" s="201" customFormat="1" ht="23.25" customHeight="1">
      <c r="A25" s="209"/>
      <c r="B25" s="210" t="s">
        <v>251</v>
      </c>
      <c r="C25" s="204"/>
      <c r="D25" s="211"/>
      <c r="E25" s="494"/>
      <c r="F25" s="212" t="s">
        <v>224</v>
      </c>
      <c r="G25" s="213"/>
      <c r="H25" s="213"/>
      <c r="I25" s="214"/>
    </row>
    <row r="26" spans="1:9" s="201" customFormat="1" ht="18.75" customHeight="1">
      <c r="A26" s="209"/>
      <c r="B26" s="489" t="s">
        <v>252</v>
      </c>
      <c r="C26" s="204"/>
      <c r="D26" s="211"/>
      <c r="E26" s="494"/>
      <c r="F26" s="212" t="s">
        <v>225</v>
      </c>
      <c r="G26" s="213"/>
      <c r="H26" s="213"/>
      <c r="I26" s="214"/>
    </row>
    <row r="27" spans="1:9" s="201" customFormat="1" ht="20.25" customHeight="1" thickBot="1">
      <c r="A27" s="215"/>
      <c r="B27" s="496"/>
      <c r="C27" s="216"/>
      <c r="D27" s="217"/>
      <c r="E27" s="495"/>
      <c r="F27" s="218" t="s">
        <v>226</v>
      </c>
      <c r="G27" s="219">
        <f>I27</f>
        <v>103975</v>
      </c>
      <c r="H27" s="219"/>
      <c r="I27" s="220">
        <v>103975</v>
      </c>
    </row>
    <row r="28" spans="1:10" s="201" customFormat="1" ht="24" customHeight="1" thickBot="1">
      <c r="A28" s="197"/>
      <c r="B28" s="198" t="s">
        <v>230</v>
      </c>
      <c r="C28" s="199" t="s">
        <v>218</v>
      </c>
      <c r="D28" s="199" t="s">
        <v>218</v>
      </c>
      <c r="E28" s="199"/>
      <c r="F28" s="199" t="s">
        <v>218</v>
      </c>
      <c r="G28" s="200">
        <f>G29+G34+G39+G44+G49+G54+G59+G64+G69</f>
        <v>512083</v>
      </c>
      <c r="H28" s="200">
        <f>H29+H34+H39+H44+H49+H54+H59+H64+H69</f>
        <v>181135.74</v>
      </c>
      <c r="I28" s="200">
        <f>I29+I34+I39+I44+I49+I54+I59+I64+I69</f>
        <v>323422.69</v>
      </c>
      <c r="J28" s="221"/>
    </row>
    <row r="29" spans="1:11" s="231" customFormat="1" ht="20.25" customHeight="1">
      <c r="A29" s="222" t="s">
        <v>219</v>
      </c>
      <c r="B29" s="203" t="s">
        <v>254</v>
      </c>
      <c r="C29" s="223"/>
      <c r="D29" s="224" t="s">
        <v>231</v>
      </c>
      <c r="E29" s="491" t="s">
        <v>232</v>
      </c>
      <c r="F29" s="225" t="s">
        <v>233</v>
      </c>
      <c r="G29" s="226">
        <f>G30+G31+G32+G33</f>
        <v>85508</v>
      </c>
      <c r="H29" s="227">
        <f>H30+H31+H32+H33</f>
        <v>19085.74</v>
      </c>
      <c r="I29" s="228">
        <f>I30+I31+I32+I33</f>
        <v>63302.689999999995</v>
      </c>
      <c r="J29" s="229"/>
      <c r="K29" s="230"/>
    </row>
    <row r="30" spans="1:11" s="231" customFormat="1" ht="15">
      <c r="A30" s="232"/>
      <c r="B30" s="210" t="s">
        <v>255</v>
      </c>
      <c r="C30" s="223"/>
      <c r="D30" s="224"/>
      <c r="E30" s="491"/>
      <c r="F30" s="233" t="s">
        <v>234</v>
      </c>
      <c r="G30" s="234">
        <f>H30+I30</f>
        <v>0</v>
      </c>
      <c r="H30" s="213"/>
      <c r="I30" s="235"/>
      <c r="K30" s="236"/>
    </row>
    <row r="31" spans="1:11" s="231" customFormat="1" ht="30.75" customHeight="1">
      <c r="A31" s="232"/>
      <c r="B31" s="210" t="s">
        <v>256</v>
      </c>
      <c r="C31" s="223"/>
      <c r="D31" s="224"/>
      <c r="E31" s="491"/>
      <c r="F31" s="233" t="s">
        <v>224</v>
      </c>
      <c r="G31" s="234">
        <f>12286+108+432</f>
        <v>12826</v>
      </c>
      <c r="H31" s="213">
        <f>320.42+1461.64+450+630.81</f>
        <v>2862.8700000000003</v>
      </c>
      <c r="I31" s="235">
        <f>1889.19+905.02+217.5+1140.81+2740.66+2170.22+432</f>
        <v>9495.4</v>
      </c>
      <c r="J31" s="229"/>
      <c r="K31" s="236"/>
    </row>
    <row r="32" spans="1:11" s="231" customFormat="1" ht="18.75" customHeight="1">
      <c r="A32" s="232"/>
      <c r="B32" s="489" t="s">
        <v>257</v>
      </c>
      <c r="C32" s="223"/>
      <c r="D32" s="224"/>
      <c r="E32" s="491"/>
      <c r="F32" s="233" t="s">
        <v>225</v>
      </c>
      <c r="G32" s="234">
        <f>H32+I32</f>
        <v>0</v>
      </c>
      <c r="H32" s="213"/>
      <c r="I32" s="235"/>
      <c r="J32" s="229"/>
      <c r="K32" s="236"/>
    </row>
    <row r="33" spans="1:11" s="231" customFormat="1" ht="18.75" customHeight="1" thickBot="1">
      <c r="A33" s="237"/>
      <c r="B33" s="490"/>
      <c r="C33" s="238"/>
      <c r="D33" s="239"/>
      <c r="E33" s="492"/>
      <c r="F33" s="240" t="s">
        <v>235</v>
      </c>
      <c r="G33" s="241">
        <f>69622+2448+612</f>
        <v>72682</v>
      </c>
      <c r="H33" s="219">
        <f>3574.59+2549.99+8282.61+1815.68</f>
        <v>16222.87</v>
      </c>
      <c r="I33" s="242">
        <f>10705.41+5128.48+1232.5+6464.59+15530.39+12297.92+2448</f>
        <v>53807.28999999999</v>
      </c>
      <c r="J33" s="229"/>
      <c r="K33" s="236"/>
    </row>
    <row r="34" spans="1:11" s="231" customFormat="1" ht="20.25" customHeight="1">
      <c r="A34" s="222" t="s">
        <v>227</v>
      </c>
      <c r="B34" s="203" t="s">
        <v>254</v>
      </c>
      <c r="C34" s="223"/>
      <c r="D34" s="224" t="s">
        <v>236</v>
      </c>
      <c r="E34" s="491" t="s">
        <v>237</v>
      </c>
      <c r="F34" s="225" t="s">
        <v>233</v>
      </c>
      <c r="G34" s="226">
        <f>G35+G36+G37+G38</f>
        <v>353333</v>
      </c>
      <c r="H34" s="227">
        <f>H35+H36+H37+H38</f>
        <v>162050</v>
      </c>
      <c r="I34" s="228">
        <f>I35+I36+I37+I38</f>
        <v>191283</v>
      </c>
      <c r="K34" s="236"/>
    </row>
    <row r="35" spans="1:11" s="231" customFormat="1" ht="15">
      <c r="A35" s="232"/>
      <c r="B35" s="210" t="s">
        <v>258</v>
      </c>
      <c r="C35" s="223"/>
      <c r="D35" s="224"/>
      <c r="E35" s="491"/>
      <c r="F35" s="233" t="s">
        <v>234</v>
      </c>
      <c r="G35" s="234">
        <f>H35+I35</f>
        <v>37499</v>
      </c>
      <c r="H35" s="213">
        <v>17339</v>
      </c>
      <c r="I35" s="235">
        <v>20160</v>
      </c>
      <c r="K35" s="236"/>
    </row>
    <row r="36" spans="1:11" s="231" customFormat="1" ht="24.75" customHeight="1">
      <c r="A36" s="232"/>
      <c r="B36" s="210" t="s">
        <v>259</v>
      </c>
      <c r="C36" s="223"/>
      <c r="D36" s="224"/>
      <c r="E36" s="491"/>
      <c r="F36" s="233" t="s">
        <v>224</v>
      </c>
      <c r="G36" s="234">
        <f>H36+I36</f>
        <v>15199</v>
      </c>
      <c r="H36" s="213">
        <v>7276</v>
      </c>
      <c r="I36" s="235">
        <f>8640-717</f>
        <v>7923</v>
      </c>
      <c r="K36" s="236"/>
    </row>
    <row r="37" spans="1:11" s="231" customFormat="1" ht="15.75" customHeight="1">
      <c r="A37" s="232"/>
      <c r="B37" s="489" t="s">
        <v>260</v>
      </c>
      <c r="C37" s="223"/>
      <c r="D37" s="224"/>
      <c r="E37" s="491"/>
      <c r="F37" s="233" t="s">
        <v>225</v>
      </c>
      <c r="G37" s="234">
        <f>H37+I37</f>
        <v>0</v>
      </c>
      <c r="H37" s="213">
        <v>0</v>
      </c>
      <c r="I37" s="235">
        <v>0</v>
      </c>
      <c r="K37" s="236"/>
    </row>
    <row r="38" spans="1:11" s="231" customFormat="1" ht="18.75" customHeight="1" thickBot="1">
      <c r="A38" s="237"/>
      <c r="B38" s="490"/>
      <c r="C38" s="238"/>
      <c r="D38" s="239"/>
      <c r="E38" s="492"/>
      <c r="F38" s="240" t="s">
        <v>235</v>
      </c>
      <c r="G38" s="241">
        <f>H38+I38</f>
        <v>300635</v>
      </c>
      <c r="H38" s="219">
        <v>137435</v>
      </c>
      <c r="I38" s="242">
        <v>163200</v>
      </c>
      <c r="K38" s="236"/>
    </row>
    <row r="39" spans="1:11" s="244" customFormat="1" ht="20.25" customHeight="1">
      <c r="A39" s="222" t="s">
        <v>238</v>
      </c>
      <c r="B39" s="203" t="s">
        <v>246</v>
      </c>
      <c r="C39" s="204"/>
      <c r="D39" s="243" t="s">
        <v>239</v>
      </c>
      <c r="E39" s="487" t="s">
        <v>229</v>
      </c>
      <c r="F39" s="206" t="s">
        <v>233</v>
      </c>
      <c r="G39" s="207">
        <f>G40+G41+G42+G43</f>
        <v>8937</v>
      </c>
      <c r="H39" s="207"/>
      <c r="I39" s="207">
        <f>I40+I41+I42+I43</f>
        <v>8937</v>
      </c>
      <c r="K39" s="245"/>
    </row>
    <row r="40" spans="1:11" s="244" customFormat="1" ht="15">
      <c r="A40" s="209"/>
      <c r="B40" s="210" t="s">
        <v>261</v>
      </c>
      <c r="C40" s="204"/>
      <c r="D40" s="243"/>
      <c r="E40" s="487"/>
      <c r="F40" s="212" t="s">
        <v>234</v>
      </c>
      <c r="G40" s="213">
        <f>H40+I40</f>
        <v>3144</v>
      </c>
      <c r="H40" s="213"/>
      <c r="I40" s="213">
        <v>3144</v>
      </c>
      <c r="K40" s="245"/>
    </row>
    <row r="41" spans="1:11" s="244" customFormat="1" ht="21" customHeight="1">
      <c r="A41" s="209"/>
      <c r="B41" s="210" t="s">
        <v>262</v>
      </c>
      <c r="C41" s="204"/>
      <c r="D41" s="243"/>
      <c r="E41" s="487"/>
      <c r="F41" s="212" t="s">
        <v>224</v>
      </c>
      <c r="G41" s="213">
        <f>H41+I41</f>
        <v>0</v>
      </c>
      <c r="H41" s="213"/>
      <c r="I41" s="213">
        <v>0</v>
      </c>
      <c r="K41" s="245"/>
    </row>
    <row r="42" spans="1:11" s="244" customFormat="1" ht="15.75" customHeight="1">
      <c r="A42" s="209"/>
      <c r="B42" s="489" t="s">
        <v>263</v>
      </c>
      <c r="C42" s="204"/>
      <c r="D42" s="243"/>
      <c r="E42" s="487"/>
      <c r="F42" s="212" t="s">
        <v>225</v>
      </c>
      <c r="G42" s="213">
        <f>H42+I42</f>
        <v>0</v>
      </c>
      <c r="H42" s="213"/>
      <c r="I42" s="213">
        <v>0</v>
      </c>
      <c r="K42" s="245"/>
    </row>
    <row r="43" spans="1:11" s="244" customFormat="1" ht="18.75" customHeight="1" thickBot="1">
      <c r="A43" s="215"/>
      <c r="B43" s="490"/>
      <c r="C43" s="216"/>
      <c r="D43" s="246"/>
      <c r="E43" s="488"/>
      <c r="F43" s="218" t="s">
        <v>235</v>
      </c>
      <c r="G43" s="219">
        <f>H43+I43</f>
        <v>5793</v>
      </c>
      <c r="H43" s="219"/>
      <c r="I43" s="219">
        <v>5793</v>
      </c>
      <c r="K43" s="245"/>
    </row>
    <row r="44" spans="1:11" s="244" customFormat="1" ht="20.25" customHeight="1">
      <c r="A44" s="222" t="s">
        <v>240</v>
      </c>
      <c r="B44" s="203" t="s">
        <v>246</v>
      </c>
      <c r="C44" s="204"/>
      <c r="D44" s="243" t="s">
        <v>228</v>
      </c>
      <c r="E44" s="487" t="s">
        <v>229</v>
      </c>
      <c r="F44" s="206" t="s">
        <v>233</v>
      </c>
      <c r="G44" s="207">
        <f>G45+G46+G47+G48</f>
        <v>16624</v>
      </c>
      <c r="H44" s="207"/>
      <c r="I44" s="207">
        <f>I45+I46+I47+I48</f>
        <v>16624</v>
      </c>
      <c r="K44" s="245"/>
    </row>
    <row r="45" spans="1:11" s="244" customFormat="1" ht="15">
      <c r="A45" s="209"/>
      <c r="B45" s="210" t="s">
        <v>261</v>
      </c>
      <c r="C45" s="204"/>
      <c r="D45" s="243"/>
      <c r="E45" s="487"/>
      <c r="F45" s="212" t="s">
        <v>234</v>
      </c>
      <c r="G45" s="213">
        <f>H45+I45</f>
        <v>7163</v>
      </c>
      <c r="H45" s="213"/>
      <c r="I45" s="213">
        <v>7163</v>
      </c>
      <c r="K45" s="245"/>
    </row>
    <row r="46" spans="1:11" s="244" customFormat="1" ht="21" customHeight="1">
      <c r="A46" s="209"/>
      <c r="B46" s="210" t="s">
        <v>262</v>
      </c>
      <c r="C46" s="204"/>
      <c r="D46" s="243"/>
      <c r="E46" s="487"/>
      <c r="F46" s="212" t="s">
        <v>224</v>
      </c>
      <c r="G46" s="213">
        <f>H46+I46</f>
        <v>0</v>
      </c>
      <c r="H46" s="213"/>
      <c r="I46" s="213">
        <v>0</v>
      </c>
      <c r="K46" s="245"/>
    </row>
    <row r="47" spans="1:11" s="244" customFormat="1" ht="15.75" customHeight="1">
      <c r="A47" s="209"/>
      <c r="B47" s="489" t="s">
        <v>264</v>
      </c>
      <c r="C47" s="204"/>
      <c r="D47" s="243"/>
      <c r="E47" s="487"/>
      <c r="F47" s="212" t="s">
        <v>225</v>
      </c>
      <c r="G47" s="213">
        <f>H47+I47</f>
        <v>0</v>
      </c>
      <c r="H47" s="213"/>
      <c r="I47" s="213">
        <v>0</v>
      </c>
      <c r="K47" s="245"/>
    </row>
    <row r="48" spans="1:11" s="244" customFormat="1" ht="18.75" customHeight="1" thickBot="1">
      <c r="A48" s="215"/>
      <c r="B48" s="490"/>
      <c r="C48" s="216"/>
      <c r="D48" s="246"/>
      <c r="E48" s="488"/>
      <c r="F48" s="218" t="s">
        <v>235</v>
      </c>
      <c r="G48" s="219">
        <f>H48+I48</f>
        <v>9461</v>
      </c>
      <c r="H48" s="219"/>
      <c r="I48" s="219">
        <v>9461</v>
      </c>
      <c r="K48" s="245"/>
    </row>
    <row r="49" spans="1:11" s="244" customFormat="1" ht="20.25" customHeight="1">
      <c r="A49" s="222" t="s">
        <v>241</v>
      </c>
      <c r="B49" s="203" t="s">
        <v>246</v>
      </c>
      <c r="C49" s="204"/>
      <c r="D49" s="243" t="s">
        <v>239</v>
      </c>
      <c r="E49" s="487" t="s">
        <v>229</v>
      </c>
      <c r="F49" s="206" t="s">
        <v>233</v>
      </c>
      <c r="G49" s="207">
        <f>G50+G51+G52+G53</f>
        <v>8926</v>
      </c>
      <c r="H49" s="207"/>
      <c r="I49" s="207">
        <f>I50+I51+I52+I53</f>
        <v>8926</v>
      </c>
      <c r="K49" s="245"/>
    </row>
    <row r="50" spans="1:11" s="244" customFormat="1" ht="15">
      <c r="A50" s="209"/>
      <c r="B50" s="210" t="s">
        <v>261</v>
      </c>
      <c r="C50" s="204"/>
      <c r="D50" s="243"/>
      <c r="E50" s="487"/>
      <c r="F50" s="212" t="s">
        <v>234</v>
      </c>
      <c r="G50" s="213">
        <f>H50+I50</f>
        <v>3215</v>
      </c>
      <c r="H50" s="213"/>
      <c r="I50" s="213">
        <f>3243-28</f>
        <v>3215</v>
      </c>
      <c r="K50" s="245"/>
    </row>
    <row r="51" spans="1:11" s="244" customFormat="1" ht="21" customHeight="1">
      <c r="A51" s="209"/>
      <c r="B51" s="210" t="s">
        <v>262</v>
      </c>
      <c r="C51" s="204"/>
      <c r="D51" s="243"/>
      <c r="E51" s="487"/>
      <c r="F51" s="212" t="s">
        <v>224</v>
      </c>
      <c r="G51" s="213">
        <f>H51+I51</f>
        <v>0</v>
      </c>
      <c r="H51" s="213"/>
      <c r="I51" s="213">
        <v>0</v>
      </c>
      <c r="K51" s="245"/>
    </row>
    <row r="52" spans="1:11" s="244" customFormat="1" ht="15.75" customHeight="1">
      <c r="A52" s="209"/>
      <c r="B52" s="489" t="s">
        <v>265</v>
      </c>
      <c r="C52" s="204"/>
      <c r="D52" s="243"/>
      <c r="E52" s="487"/>
      <c r="F52" s="212" t="s">
        <v>225</v>
      </c>
      <c r="G52" s="213">
        <f>H52+I52</f>
        <v>0</v>
      </c>
      <c r="H52" s="213"/>
      <c r="I52" s="213">
        <v>0</v>
      </c>
      <c r="K52" s="245"/>
    </row>
    <row r="53" spans="1:11" s="244" customFormat="1" ht="18.75" customHeight="1" thickBot="1">
      <c r="A53" s="215"/>
      <c r="B53" s="490"/>
      <c r="C53" s="216"/>
      <c r="D53" s="246"/>
      <c r="E53" s="488"/>
      <c r="F53" s="218" t="s">
        <v>235</v>
      </c>
      <c r="G53" s="219">
        <f>H53+I53</f>
        <v>5711</v>
      </c>
      <c r="H53" s="219"/>
      <c r="I53" s="219">
        <v>5711</v>
      </c>
      <c r="K53" s="245"/>
    </row>
    <row r="54" spans="1:11" s="244" customFormat="1" ht="20.25" customHeight="1">
      <c r="A54" s="222" t="s">
        <v>242</v>
      </c>
      <c r="B54" s="203" t="s">
        <v>246</v>
      </c>
      <c r="C54" s="204"/>
      <c r="D54" s="243" t="s">
        <v>239</v>
      </c>
      <c r="E54" s="487" t="s">
        <v>229</v>
      </c>
      <c r="F54" s="206" t="s">
        <v>233</v>
      </c>
      <c r="G54" s="207">
        <f>G55+G56+G57+G58</f>
        <v>10000</v>
      </c>
      <c r="H54" s="207"/>
      <c r="I54" s="207">
        <f>I55+I56+I57+I58</f>
        <v>10000</v>
      </c>
      <c r="K54" s="245"/>
    </row>
    <row r="55" spans="1:11" s="244" customFormat="1" ht="15">
      <c r="A55" s="209"/>
      <c r="B55" s="210" t="s">
        <v>261</v>
      </c>
      <c r="C55" s="204"/>
      <c r="D55" s="243"/>
      <c r="E55" s="487"/>
      <c r="F55" s="212" t="s">
        <v>234</v>
      </c>
      <c r="G55" s="213">
        <f>H55+I55</f>
        <v>3000</v>
      </c>
      <c r="H55" s="213"/>
      <c r="I55" s="213">
        <v>3000</v>
      </c>
      <c r="K55" s="245"/>
    </row>
    <row r="56" spans="1:11" s="244" customFormat="1" ht="21" customHeight="1">
      <c r="A56" s="209"/>
      <c r="B56" s="210" t="s">
        <v>262</v>
      </c>
      <c r="C56" s="204"/>
      <c r="D56" s="243"/>
      <c r="E56" s="487"/>
      <c r="F56" s="212" t="s">
        <v>224</v>
      </c>
      <c r="G56" s="213">
        <f>H56+I56</f>
        <v>0</v>
      </c>
      <c r="H56" s="213"/>
      <c r="I56" s="213">
        <v>0</v>
      </c>
      <c r="K56" s="245"/>
    </row>
    <row r="57" spans="1:11" s="244" customFormat="1" ht="15.75" customHeight="1">
      <c r="A57" s="209"/>
      <c r="B57" s="489" t="s">
        <v>266</v>
      </c>
      <c r="C57" s="204"/>
      <c r="D57" s="243"/>
      <c r="E57" s="487"/>
      <c r="F57" s="212" t="s">
        <v>225</v>
      </c>
      <c r="G57" s="213">
        <f>H57+I57</f>
        <v>0</v>
      </c>
      <c r="H57" s="213"/>
      <c r="I57" s="213">
        <v>0</v>
      </c>
      <c r="K57" s="245"/>
    </row>
    <row r="58" spans="1:11" s="244" customFormat="1" ht="18.75" customHeight="1" thickBot="1">
      <c r="A58" s="215"/>
      <c r="B58" s="490"/>
      <c r="C58" s="216"/>
      <c r="D58" s="246"/>
      <c r="E58" s="488"/>
      <c r="F58" s="218" t="s">
        <v>235</v>
      </c>
      <c r="G58" s="219">
        <f>H58+I58</f>
        <v>7000</v>
      </c>
      <c r="H58" s="219"/>
      <c r="I58" s="219">
        <v>7000</v>
      </c>
      <c r="K58" s="245"/>
    </row>
    <row r="59" spans="1:11" s="244" customFormat="1" ht="20.25" customHeight="1">
      <c r="A59" s="222" t="s">
        <v>243</v>
      </c>
      <c r="B59" s="203" t="s">
        <v>246</v>
      </c>
      <c r="C59" s="204"/>
      <c r="D59" s="243" t="s">
        <v>228</v>
      </c>
      <c r="E59" s="487" t="s">
        <v>229</v>
      </c>
      <c r="F59" s="206" t="s">
        <v>233</v>
      </c>
      <c r="G59" s="207">
        <f>G60+G61+G62+G63</f>
        <v>10512</v>
      </c>
      <c r="H59" s="207"/>
      <c r="I59" s="207">
        <f>I60+I61+I62+I63</f>
        <v>10512</v>
      </c>
      <c r="K59" s="245"/>
    </row>
    <row r="60" spans="1:11" s="244" customFormat="1" ht="15">
      <c r="A60" s="209"/>
      <c r="B60" s="210" t="s">
        <v>261</v>
      </c>
      <c r="C60" s="204"/>
      <c r="D60" s="243"/>
      <c r="E60" s="487"/>
      <c r="F60" s="212" t="s">
        <v>234</v>
      </c>
      <c r="G60" s="213">
        <f>H60+I60</f>
        <v>4529</v>
      </c>
      <c r="H60" s="213"/>
      <c r="I60" s="213">
        <v>4529</v>
      </c>
      <c r="K60" s="245"/>
    </row>
    <row r="61" spans="1:11" s="244" customFormat="1" ht="21" customHeight="1">
      <c r="A61" s="209"/>
      <c r="B61" s="210" t="s">
        <v>262</v>
      </c>
      <c r="C61" s="204"/>
      <c r="D61" s="243"/>
      <c r="E61" s="487"/>
      <c r="F61" s="212" t="s">
        <v>224</v>
      </c>
      <c r="G61" s="213">
        <f>H61+I61</f>
        <v>0</v>
      </c>
      <c r="H61" s="213"/>
      <c r="I61" s="213">
        <v>0</v>
      </c>
      <c r="K61" s="245"/>
    </row>
    <row r="62" spans="1:11" s="244" customFormat="1" ht="15.75" customHeight="1">
      <c r="A62" s="209"/>
      <c r="B62" s="489" t="s">
        <v>267</v>
      </c>
      <c r="C62" s="204"/>
      <c r="D62" s="243"/>
      <c r="E62" s="487"/>
      <c r="F62" s="212" t="s">
        <v>225</v>
      </c>
      <c r="G62" s="213">
        <f>H62+I62</f>
        <v>0</v>
      </c>
      <c r="H62" s="213"/>
      <c r="I62" s="213">
        <v>0</v>
      </c>
      <c r="K62" s="245"/>
    </row>
    <row r="63" spans="1:11" s="244" customFormat="1" ht="18.75" customHeight="1" thickBot="1">
      <c r="A63" s="215"/>
      <c r="B63" s="490"/>
      <c r="C63" s="216"/>
      <c r="D63" s="246"/>
      <c r="E63" s="488"/>
      <c r="F63" s="218" t="s">
        <v>235</v>
      </c>
      <c r="G63" s="219">
        <f>H63+I63</f>
        <v>5983</v>
      </c>
      <c r="H63" s="219"/>
      <c r="I63" s="219">
        <v>5983</v>
      </c>
      <c r="K63" s="245"/>
    </row>
    <row r="64" spans="1:11" s="244" customFormat="1" ht="20.25" customHeight="1">
      <c r="A64" s="222" t="s">
        <v>244</v>
      </c>
      <c r="B64" s="203" t="s">
        <v>246</v>
      </c>
      <c r="C64" s="204"/>
      <c r="D64" s="243" t="s">
        <v>239</v>
      </c>
      <c r="E64" s="487" t="s">
        <v>221</v>
      </c>
      <c r="F64" s="206" t="s">
        <v>233</v>
      </c>
      <c r="G64" s="207">
        <f>G65+G66+G67+G68</f>
        <v>10905</v>
      </c>
      <c r="H64" s="207"/>
      <c r="I64" s="207">
        <f>I65+I66+I67+I68</f>
        <v>6500</v>
      </c>
      <c r="K64" s="245"/>
    </row>
    <row r="65" spans="1:11" s="244" customFormat="1" ht="15">
      <c r="A65" s="209"/>
      <c r="B65" s="210" t="s">
        <v>261</v>
      </c>
      <c r="C65" s="204"/>
      <c r="D65" s="243"/>
      <c r="E65" s="487"/>
      <c r="F65" s="212" t="s">
        <v>234</v>
      </c>
      <c r="G65" s="213">
        <v>3429</v>
      </c>
      <c r="H65" s="213"/>
      <c r="I65" s="213">
        <v>1950</v>
      </c>
      <c r="K65" s="245"/>
    </row>
    <row r="66" spans="1:11" s="244" customFormat="1" ht="21" customHeight="1">
      <c r="A66" s="209"/>
      <c r="B66" s="210" t="s">
        <v>262</v>
      </c>
      <c r="C66" s="204"/>
      <c r="D66" s="243"/>
      <c r="E66" s="487"/>
      <c r="F66" s="212" t="s">
        <v>224</v>
      </c>
      <c r="G66" s="213">
        <f>H66+I66</f>
        <v>0</v>
      </c>
      <c r="H66" s="213"/>
      <c r="I66" s="213">
        <v>0</v>
      </c>
      <c r="K66" s="245"/>
    </row>
    <row r="67" spans="1:11" s="244" customFormat="1" ht="15.75" customHeight="1">
      <c r="A67" s="209"/>
      <c r="B67" s="489" t="s">
        <v>268</v>
      </c>
      <c r="C67" s="204"/>
      <c r="D67" s="243"/>
      <c r="E67" s="487"/>
      <c r="F67" s="212" t="s">
        <v>225</v>
      </c>
      <c r="G67" s="213">
        <f>H67+I67</f>
        <v>0</v>
      </c>
      <c r="H67" s="213"/>
      <c r="I67" s="213">
        <v>0</v>
      </c>
      <c r="K67" s="245"/>
    </row>
    <row r="68" spans="1:11" s="244" customFormat="1" ht="18.75" customHeight="1" thickBot="1">
      <c r="A68" s="215"/>
      <c r="B68" s="490"/>
      <c r="C68" s="216"/>
      <c r="D68" s="246"/>
      <c r="E68" s="488"/>
      <c r="F68" s="218" t="s">
        <v>235</v>
      </c>
      <c r="G68" s="219">
        <v>7476</v>
      </c>
      <c r="H68" s="219"/>
      <c r="I68" s="219">
        <v>4550</v>
      </c>
      <c r="K68" s="245"/>
    </row>
    <row r="69" spans="1:11" s="244" customFormat="1" ht="20.25" customHeight="1">
      <c r="A69" s="222" t="s">
        <v>245</v>
      </c>
      <c r="B69" s="203" t="s">
        <v>246</v>
      </c>
      <c r="C69" s="204"/>
      <c r="D69" s="243" t="s">
        <v>239</v>
      </c>
      <c r="E69" s="487" t="s">
        <v>229</v>
      </c>
      <c r="F69" s="206" t="s">
        <v>233</v>
      </c>
      <c r="G69" s="207">
        <f>G70+G71+G72+G73</f>
        <v>7338</v>
      </c>
      <c r="H69" s="207"/>
      <c r="I69" s="207">
        <f>I70+I71+I72+I73</f>
        <v>7338</v>
      </c>
      <c r="K69" s="245"/>
    </row>
    <row r="70" spans="1:11" s="244" customFormat="1" ht="15">
      <c r="A70" s="209"/>
      <c r="B70" s="210" t="s">
        <v>261</v>
      </c>
      <c r="C70" s="204"/>
      <c r="D70" s="243"/>
      <c r="E70" s="487"/>
      <c r="F70" s="212" t="s">
        <v>234</v>
      </c>
      <c r="G70" s="213">
        <f>H70+I70</f>
        <v>2455</v>
      </c>
      <c r="H70" s="213"/>
      <c r="I70" s="213">
        <v>2455</v>
      </c>
      <c r="K70" s="245"/>
    </row>
    <row r="71" spans="1:11" s="244" customFormat="1" ht="21" customHeight="1">
      <c r="A71" s="209"/>
      <c r="B71" s="210" t="s">
        <v>262</v>
      </c>
      <c r="C71" s="204"/>
      <c r="D71" s="243"/>
      <c r="E71" s="487"/>
      <c r="F71" s="212" t="s">
        <v>224</v>
      </c>
      <c r="G71" s="213">
        <f>H71+I71</f>
        <v>0</v>
      </c>
      <c r="H71" s="213"/>
      <c r="I71" s="213">
        <v>0</v>
      </c>
      <c r="K71" s="245"/>
    </row>
    <row r="72" spans="1:11" s="244" customFormat="1" ht="15.75" customHeight="1">
      <c r="A72" s="209"/>
      <c r="B72" s="489" t="s">
        <v>269</v>
      </c>
      <c r="C72" s="204"/>
      <c r="D72" s="243"/>
      <c r="E72" s="487"/>
      <c r="F72" s="212" t="s">
        <v>225</v>
      </c>
      <c r="G72" s="213">
        <f>H72+I72</f>
        <v>0</v>
      </c>
      <c r="H72" s="213"/>
      <c r="I72" s="213">
        <v>0</v>
      </c>
      <c r="K72" s="245"/>
    </row>
    <row r="73" spans="1:11" s="244" customFormat="1" ht="18.75" customHeight="1" thickBot="1">
      <c r="A73" s="215"/>
      <c r="B73" s="490"/>
      <c r="C73" s="216"/>
      <c r="D73" s="246"/>
      <c r="E73" s="488"/>
      <c r="F73" s="218" t="s">
        <v>235</v>
      </c>
      <c r="G73" s="219">
        <f>H73+I73</f>
        <v>4883</v>
      </c>
      <c r="H73" s="219"/>
      <c r="I73" s="219">
        <v>4883</v>
      </c>
      <c r="K73" s="245"/>
    </row>
    <row r="74" spans="1:9" s="201" customFormat="1" ht="22.5" customHeight="1" thickBot="1">
      <c r="A74" s="247"/>
      <c r="B74" s="248"/>
      <c r="C74" s="248"/>
      <c r="D74" s="248"/>
      <c r="E74" s="248"/>
      <c r="F74" s="249" t="s">
        <v>50</v>
      </c>
      <c r="G74" s="200">
        <f>G7+G28</f>
        <v>799649</v>
      </c>
      <c r="H74" s="200">
        <f>H7+H28</f>
        <v>181135.74</v>
      </c>
      <c r="I74" s="200">
        <f>I7+I28</f>
        <v>610988.69</v>
      </c>
    </row>
    <row r="75" spans="1:9" s="201" customFormat="1" ht="212.25" customHeight="1">
      <c r="A75" s="250"/>
      <c r="B75" s="244"/>
      <c r="C75" s="244"/>
      <c r="D75" s="244"/>
      <c r="E75" s="244"/>
      <c r="F75" s="251"/>
      <c r="G75" s="252"/>
      <c r="H75" s="252"/>
      <c r="I75" s="253"/>
    </row>
    <row r="76" spans="2:9" ht="12.75">
      <c r="B76" s="255"/>
      <c r="C76" s="255"/>
      <c r="D76" s="255"/>
      <c r="E76" s="255"/>
      <c r="F76" s="255"/>
      <c r="G76" s="256"/>
      <c r="H76" s="255"/>
      <c r="I76" s="257"/>
    </row>
  </sheetData>
  <mergeCells count="37">
    <mergeCell ref="E29:E33"/>
    <mergeCell ref="B32:B33"/>
    <mergeCell ref="E18:E22"/>
    <mergeCell ref="B21:B22"/>
    <mergeCell ref="E23:E27"/>
    <mergeCell ref="B26:B27"/>
    <mergeCell ref="A1:I1"/>
    <mergeCell ref="A3:A5"/>
    <mergeCell ref="B3:B5"/>
    <mergeCell ref="C3:C5"/>
    <mergeCell ref="D3:D5"/>
    <mergeCell ref="F4:F5"/>
    <mergeCell ref="G4:G5"/>
    <mergeCell ref="F3:H3"/>
    <mergeCell ref="E3:E5"/>
    <mergeCell ref="I3:I5"/>
    <mergeCell ref="E13:E17"/>
    <mergeCell ref="B16:B17"/>
    <mergeCell ref="B11:B12"/>
    <mergeCell ref="H4:H5"/>
    <mergeCell ref="E8:E12"/>
    <mergeCell ref="E34:E38"/>
    <mergeCell ref="B37:B38"/>
    <mergeCell ref="E49:E53"/>
    <mergeCell ref="B52:B53"/>
    <mergeCell ref="E39:E43"/>
    <mergeCell ref="B42:B43"/>
    <mergeCell ref="E44:E48"/>
    <mergeCell ref="B47:B48"/>
    <mergeCell ref="E54:E58"/>
    <mergeCell ref="B57:B58"/>
    <mergeCell ref="E59:E63"/>
    <mergeCell ref="B62:B63"/>
    <mergeCell ref="E64:E68"/>
    <mergeCell ref="B67:B68"/>
    <mergeCell ref="E69:E73"/>
    <mergeCell ref="B72:B73"/>
  </mergeCells>
  <printOptions horizontalCentered="1"/>
  <pageMargins left="0.4330708661417323" right="0.4330708661417323" top="0.83" bottom="0.4330708661417323" header="0.35" footer="0.2362204724409449"/>
  <pageSetup fitToHeight="1" fitToWidth="1" horizontalDpi="600" verticalDpi="600" orientation="portrait" paperSize="9" scale="57" r:id="rId1"/>
  <headerFooter alignWithMargins="0">
    <oddHeader>&amp;R&amp;"Arial CE,Pogrubiony"&amp;9Załącznik Nr &amp;A&amp;"Arial CE,Standardowy"
do Uchwały Nr XXVII/169/2012 
Rady Gminy Miłkowice
z dnia 18 grudnia 2012r.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zoomScale="90" zoomScaleNormal="90" workbookViewId="0" topLeftCell="A43">
      <selection activeCell="G17" sqref="G17"/>
    </sheetView>
  </sheetViews>
  <sheetFormatPr defaultColWidth="9.33203125" defaultRowHeight="12.75"/>
  <cols>
    <col min="1" max="1" width="4.33203125" style="263" customWidth="1"/>
    <col min="2" max="2" width="8.83203125" style="263" customWidth="1"/>
    <col min="3" max="3" width="10.83203125" style="263" customWidth="1"/>
    <col min="4" max="4" width="21.5" style="263" customWidth="1"/>
    <col min="5" max="5" width="26.5" style="263" customWidth="1"/>
    <col min="6" max="6" width="33" style="263" customWidth="1"/>
    <col min="7" max="7" width="16" style="263" customWidth="1"/>
    <col min="8" max="8" width="2.16015625" style="263" customWidth="1"/>
    <col min="9" max="9" width="15.33203125" style="263" customWidth="1"/>
    <col min="10" max="16384" width="10" style="263" customWidth="1"/>
  </cols>
  <sheetData>
    <row r="1" spans="1:7" ht="24" customHeight="1">
      <c r="A1" s="514" t="s">
        <v>270</v>
      </c>
      <c r="B1" s="514"/>
      <c r="C1" s="514"/>
      <c r="D1" s="514"/>
      <c r="E1" s="514"/>
      <c r="F1" s="514"/>
      <c r="G1" s="514"/>
    </row>
    <row r="2" ht="4.5" customHeight="1">
      <c r="G2" s="264"/>
    </row>
    <row r="3" spans="1:7" s="267" customFormat="1" ht="22.5" customHeight="1">
      <c r="A3" s="265" t="s">
        <v>94</v>
      </c>
      <c r="B3" s="265" t="s">
        <v>0</v>
      </c>
      <c r="C3" s="265" t="s">
        <v>1</v>
      </c>
      <c r="D3" s="265" t="s">
        <v>271</v>
      </c>
      <c r="E3" s="265" t="s">
        <v>272</v>
      </c>
      <c r="F3" s="265" t="s">
        <v>273</v>
      </c>
      <c r="G3" s="266" t="s">
        <v>274</v>
      </c>
    </row>
    <row r="4" spans="1:7" ht="7.5" customHeight="1">
      <c r="A4" s="268">
        <v>1</v>
      </c>
      <c r="B4" s="268">
        <v>2</v>
      </c>
      <c r="C4" s="268">
        <v>3</v>
      </c>
      <c r="D4" s="268"/>
      <c r="E4" s="268">
        <v>4</v>
      </c>
      <c r="F4" s="268">
        <v>5</v>
      </c>
      <c r="G4" s="268">
        <v>6</v>
      </c>
    </row>
    <row r="5" spans="1:7" ht="15" customHeight="1">
      <c r="A5" s="269" t="s">
        <v>275</v>
      </c>
      <c r="B5" s="270"/>
      <c r="C5" s="270"/>
      <c r="D5" s="270"/>
      <c r="E5" s="270"/>
      <c r="F5" s="270"/>
      <c r="G5" s="271">
        <f>G6</f>
        <v>955000</v>
      </c>
    </row>
    <row r="6" spans="1:7" ht="15.75" customHeight="1">
      <c r="A6" s="272" t="s">
        <v>276</v>
      </c>
      <c r="B6" s="273"/>
      <c r="C6" s="273"/>
      <c r="D6" s="273"/>
      <c r="E6" s="273"/>
      <c r="F6" s="273"/>
      <c r="G6" s="274">
        <f>SUM(G7:G13)</f>
        <v>955000</v>
      </c>
    </row>
    <row r="7" spans="1:256" ht="30" customHeight="1">
      <c r="A7" s="275">
        <v>1</v>
      </c>
      <c r="B7" s="276" t="s">
        <v>277</v>
      </c>
      <c r="C7" s="276" t="s">
        <v>278</v>
      </c>
      <c r="D7" s="277" t="s">
        <v>279</v>
      </c>
      <c r="E7" s="516" t="s">
        <v>280</v>
      </c>
      <c r="F7" s="278" t="s">
        <v>332</v>
      </c>
      <c r="G7" s="279">
        <f>204320-320</f>
        <v>204000</v>
      </c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0"/>
      <c r="FL7" s="280"/>
      <c r="FM7" s="280"/>
      <c r="FN7" s="280"/>
      <c r="FO7" s="280"/>
      <c r="FP7" s="280"/>
      <c r="FQ7" s="280"/>
      <c r="FR7" s="280"/>
      <c r="FS7" s="280"/>
      <c r="FT7" s="280"/>
      <c r="FU7" s="280"/>
      <c r="FV7" s="280"/>
      <c r="FW7" s="280"/>
      <c r="FX7" s="280"/>
      <c r="FY7" s="280"/>
      <c r="FZ7" s="280"/>
      <c r="GA7" s="280"/>
      <c r="GB7" s="280"/>
      <c r="GC7" s="280"/>
      <c r="GD7" s="280"/>
      <c r="GE7" s="280"/>
      <c r="GF7" s="280"/>
      <c r="GG7" s="280"/>
      <c r="GH7" s="280"/>
      <c r="GI7" s="280"/>
      <c r="GJ7" s="280"/>
      <c r="GK7" s="280"/>
      <c r="GL7" s="280"/>
      <c r="GM7" s="280"/>
      <c r="GN7" s="280"/>
      <c r="GO7" s="280"/>
      <c r="GP7" s="280"/>
      <c r="GQ7" s="280"/>
      <c r="GR7" s="280"/>
      <c r="GS7" s="280"/>
      <c r="GT7" s="280"/>
      <c r="GU7" s="280"/>
      <c r="GV7" s="280"/>
      <c r="GW7" s="280"/>
      <c r="GX7" s="280"/>
      <c r="GY7" s="280"/>
      <c r="GZ7" s="280"/>
      <c r="HA7" s="280"/>
      <c r="HB7" s="280"/>
      <c r="HC7" s="280"/>
      <c r="HD7" s="280"/>
      <c r="HE7" s="280"/>
      <c r="HF7" s="280"/>
      <c r="HG7" s="280"/>
      <c r="HH7" s="280"/>
      <c r="HI7" s="280"/>
      <c r="HJ7" s="280"/>
      <c r="HK7" s="280"/>
      <c r="HL7" s="280"/>
      <c r="HM7" s="280"/>
      <c r="HN7" s="280"/>
      <c r="HO7" s="280"/>
      <c r="HP7" s="280"/>
      <c r="HQ7" s="280"/>
      <c r="HR7" s="280"/>
      <c r="HS7" s="280"/>
      <c r="HT7" s="280"/>
      <c r="HU7" s="280"/>
      <c r="HV7" s="280"/>
      <c r="HW7" s="280"/>
      <c r="HX7" s="280"/>
      <c r="HY7" s="280"/>
      <c r="HZ7" s="280"/>
      <c r="IA7" s="280"/>
      <c r="IB7" s="280"/>
      <c r="IC7" s="280"/>
      <c r="ID7" s="280"/>
      <c r="IE7" s="280"/>
      <c r="IF7" s="280"/>
      <c r="IG7" s="280"/>
      <c r="IH7" s="280"/>
      <c r="II7" s="280"/>
      <c r="IJ7" s="280"/>
      <c r="IK7" s="280"/>
      <c r="IL7" s="280"/>
      <c r="IM7" s="280"/>
      <c r="IN7" s="280"/>
      <c r="IO7" s="280"/>
      <c r="IP7" s="280"/>
      <c r="IQ7" s="280"/>
      <c r="IR7" s="280"/>
      <c r="IS7" s="280"/>
      <c r="IT7" s="280"/>
      <c r="IU7" s="280"/>
      <c r="IV7" s="280"/>
    </row>
    <row r="8" spans="1:256" ht="30" customHeight="1">
      <c r="A8" s="275">
        <v>2</v>
      </c>
      <c r="B8" s="281">
        <v>400</v>
      </c>
      <c r="C8" s="281">
        <v>40002</v>
      </c>
      <c r="D8" s="281" t="s">
        <v>281</v>
      </c>
      <c r="E8" s="517"/>
      <c r="F8" s="278" t="s">
        <v>333</v>
      </c>
      <c r="G8" s="279">
        <f>351200-200</f>
        <v>351000</v>
      </c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0"/>
      <c r="EY8" s="280"/>
      <c r="EZ8" s="280"/>
      <c r="FA8" s="280"/>
      <c r="FB8" s="280"/>
      <c r="FC8" s="280"/>
      <c r="FD8" s="280"/>
      <c r="FE8" s="280"/>
      <c r="FF8" s="280"/>
      <c r="FG8" s="280"/>
      <c r="FH8" s="280"/>
      <c r="FI8" s="280"/>
      <c r="FJ8" s="280"/>
      <c r="FK8" s="280"/>
      <c r="FL8" s="280"/>
      <c r="FM8" s="280"/>
      <c r="FN8" s="280"/>
      <c r="FO8" s="280"/>
      <c r="FP8" s="280"/>
      <c r="FQ8" s="280"/>
      <c r="FR8" s="280"/>
      <c r="FS8" s="280"/>
      <c r="FT8" s="280"/>
      <c r="FU8" s="280"/>
      <c r="FV8" s="280"/>
      <c r="FW8" s="280"/>
      <c r="FX8" s="280"/>
      <c r="FY8" s="280"/>
      <c r="FZ8" s="280"/>
      <c r="GA8" s="280"/>
      <c r="GB8" s="280"/>
      <c r="GC8" s="280"/>
      <c r="GD8" s="280"/>
      <c r="GE8" s="280"/>
      <c r="GF8" s="280"/>
      <c r="GG8" s="280"/>
      <c r="GH8" s="280"/>
      <c r="GI8" s="280"/>
      <c r="GJ8" s="280"/>
      <c r="GK8" s="280"/>
      <c r="GL8" s="280"/>
      <c r="GM8" s="280"/>
      <c r="GN8" s="280"/>
      <c r="GO8" s="280"/>
      <c r="GP8" s="280"/>
      <c r="GQ8" s="280"/>
      <c r="GR8" s="280"/>
      <c r="GS8" s="280"/>
      <c r="GT8" s="280"/>
      <c r="GU8" s="280"/>
      <c r="GV8" s="280"/>
      <c r="GW8" s="280"/>
      <c r="GX8" s="280"/>
      <c r="GY8" s="280"/>
      <c r="GZ8" s="280"/>
      <c r="HA8" s="280"/>
      <c r="HB8" s="280"/>
      <c r="HC8" s="280"/>
      <c r="HD8" s="280"/>
      <c r="HE8" s="280"/>
      <c r="HF8" s="280"/>
      <c r="HG8" s="280"/>
      <c r="HH8" s="280"/>
      <c r="HI8" s="280"/>
      <c r="HJ8" s="280"/>
      <c r="HK8" s="280"/>
      <c r="HL8" s="280"/>
      <c r="HM8" s="280"/>
      <c r="HN8" s="280"/>
      <c r="HO8" s="280"/>
      <c r="HP8" s="280"/>
      <c r="HQ8" s="280"/>
      <c r="HR8" s="280"/>
      <c r="HS8" s="280"/>
      <c r="HT8" s="280"/>
      <c r="HU8" s="280"/>
      <c r="HV8" s="280"/>
      <c r="HW8" s="280"/>
      <c r="HX8" s="280"/>
      <c r="HY8" s="280"/>
      <c r="HZ8" s="280"/>
      <c r="IA8" s="280"/>
      <c r="IB8" s="280"/>
      <c r="IC8" s="280"/>
      <c r="ID8" s="280"/>
      <c r="IE8" s="280"/>
      <c r="IF8" s="280"/>
      <c r="IG8" s="280"/>
      <c r="IH8" s="280"/>
      <c r="II8" s="280"/>
      <c r="IJ8" s="280"/>
      <c r="IK8" s="280"/>
      <c r="IL8" s="280"/>
      <c r="IM8" s="280"/>
      <c r="IN8" s="280"/>
      <c r="IO8" s="280"/>
      <c r="IP8" s="280"/>
      <c r="IQ8" s="280"/>
      <c r="IR8" s="280"/>
      <c r="IS8" s="280"/>
      <c r="IT8" s="280"/>
      <c r="IU8" s="280"/>
      <c r="IV8" s="280"/>
    </row>
    <row r="9" spans="1:256" ht="30" customHeight="1">
      <c r="A9" s="275">
        <v>3</v>
      </c>
      <c r="B9" s="281">
        <v>600</v>
      </c>
      <c r="C9" s="281">
        <v>60016</v>
      </c>
      <c r="D9" s="277" t="s">
        <v>79</v>
      </c>
      <c r="E9" s="517"/>
      <c r="F9" s="278" t="s">
        <v>282</v>
      </c>
      <c r="G9" s="279">
        <f>93000-22000+9000+1000+7000</f>
        <v>88000</v>
      </c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  <c r="FF9" s="280"/>
      <c r="FG9" s="280"/>
      <c r="FH9" s="280"/>
      <c r="FI9" s="280"/>
      <c r="FJ9" s="280"/>
      <c r="FK9" s="280"/>
      <c r="FL9" s="280"/>
      <c r="FM9" s="280"/>
      <c r="FN9" s="280"/>
      <c r="FO9" s="280"/>
      <c r="FP9" s="280"/>
      <c r="FQ9" s="280"/>
      <c r="FR9" s="280"/>
      <c r="FS9" s="280"/>
      <c r="FT9" s="280"/>
      <c r="FU9" s="280"/>
      <c r="FV9" s="280"/>
      <c r="FW9" s="280"/>
      <c r="FX9" s="280"/>
      <c r="FY9" s="280"/>
      <c r="FZ9" s="280"/>
      <c r="GA9" s="280"/>
      <c r="GB9" s="280"/>
      <c r="GC9" s="280"/>
      <c r="GD9" s="280"/>
      <c r="GE9" s="280"/>
      <c r="GF9" s="280"/>
      <c r="GG9" s="280"/>
      <c r="GH9" s="280"/>
      <c r="GI9" s="280"/>
      <c r="GJ9" s="280"/>
      <c r="GK9" s="280"/>
      <c r="GL9" s="280"/>
      <c r="GM9" s="280"/>
      <c r="GN9" s="280"/>
      <c r="GO9" s="280"/>
      <c r="GP9" s="280"/>
      <c r="GQ9" s="280"/>
      <c r="GR9" s="280"/>
      <c r="GS9" s="280"/>
      <c r="GT9" s="280"/>
      <c r="GU9" s="280"/>
      <c r="GV9" s="280"/>
      <c r="GW9" s="280"/>
      <c r="GX9" s="280"/>
      <c r="GY9" s="280"/>
      <c r="GZ9" s="280"/>
      <c r="HA9" s="280"/>
      <c r="HB9" s="280"/>
      <c r="HC9" s="280"/>
      <c r="HD9" s="280"/>
      <c r="HE9" s="280"/>
      <c r="HF9" s="280"/>
      <c r="HG9" s="280"/>
      <c r="HH9" s="280"/>
      <c r="HI9" s="280"/>
      <c r="HJ9" s="280"/>
      <c r="HK9" s="280"/>
      <c r="HL9" s="280"/>
      <c r="HM9" s="280"/>
      <c r="HN9" s="280"/>
      <c r="HO9" s="280"/>
      <c r="HP9" s="280"/>
      <c r="HQ9" s="280"/>
      <c r="HR9" s="280"/>
      <c r="HS9" s="280"/>
      <c r="HT9" s="280"/>
      <c r="HU9" s="280"/>
      <c r="HV9" s="280"/>
      <c r="HW9" s="280"/>
      <c r="HX9" s="280"/>
      <c r="HY9" s="280"/>
      <c r="HZ9" s="280"/>
      <c r="IA9" s="280"/>
      <c r="IB9" s="280"/>
      <c r="IC9" s="280"/>
      <c r="ID9" s="280"/>
      <c r="IE9" s="280"/>
      <c r="IF9" s="280"/>
      <c r="IG9" s="280"/>
      <c r="IH9" s="280"/>
      <c r="II9" s="280"/>
      <c r="IJ9" s="280"/>
      <c r="IK9" s="280"/>
      <c r="IL9" s="280"/>
      <c r="IM9" s="280"/>
      <c r="IN9" s="280"/>
      <c r="IO9" s="280"/>
      <c r="IP9" s="280"/>
      <c r="IQ9" s="280"/>
      <c r="IR9" s="280"/>
      <c r="IS9" s="280"/>
      <c r="IT9" s="280"/>
      <c r="IU9" s="280"/>
      <c r="IV9" s="280"/>
    </row>
    <row r="10" spans="1:256" ht="30" customHeight="1">
      <c r="A10" s="275">
        <v>4</v>
      </c>
      <c r="B10" s="281">
        <v>700</v>
      </c>
      <c r="C10" s="281">
        <v>70004</v>
      </c>
      <c r="D10" s="282" t="s">
        <v>334</v>
      </c>
      <c r="E10" s="517"/>
      <c r="F10" s="283" t="s">
        <v>335</v>
      </c>
      <c r="G10" s="279">
        <f>70000-10000+9000+2000+4000</f>
        <v>75000</v>
      </c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0"/>
      <c r="EM10" s="280"/>
      <c r="EN10" s="280"/>
      <c r="EO10" s="280"/>
      <c r="EP10" s="280"/>
      <c r="EQ10" s="280"/>
      <c r="ER10" s="280"/>
      <c r="ES10" s="280"/>
      <c r="ET10" s="280"/>
      <c r="EU10" s="280"/>
      <c r="EV10" s="280"/>
      <c r="EW10" s="280"/>
      <c r="EX10" s="280"/>
      <c r="EY10" s="280"/>
      <c r="EZ10" s="280"/>
      <c r="FA10" s="280"/>
      <c r="FB10" s="280"/>
      <c r="FC10" s="280"/>
      <c r="FD10" s="280"/>
      <c r="FE10" s="280"/>
      <c r="FF10" s="280"/>
      <c r="FG10" s="280"/>
      <c r="FH10" s="280"/>
      <c r="FI10" s="280"/>
      <c r="FJ10" s="280"/>
      <c r="FK10" s="280"/>
      <c r="FL10" s="280"/>
      <c r="FM10" s="280"/>
      <c r="FN10" s="280"/>
      <c r="FO10" s="280"/>
      <c r="FP10" s="280"/>
      <c r="FQ10" s="280"/>
      <c r="FR10" s="280"/>
      <c r="FS10" s="280"/>
      <c r="FT10" s="280"/>
      <c r="FU10" s="280"/>
      <c r="FV10" s="280"/>
      <c r="FW10" s="280"/>
      <c r="FX10" s="280"/>
      <c r="FY10" s="280"/>
      <c r="FZ10" s="280"/>
      <c r="GA10" s="280"/>
      <c r="GB10" s="280"/>
      <c r="GC10" s="280"/>
      <c r="GD10" s="280"/>
      <c r="GE10" s="280"/>
      <c r="GF10" s="280"/>
      <c r="GG10" s="280"/>
      <c r="GH10" s="280"/>
      <c r="GI10" s="280"/>
      <c r="GJ10" s="280"/>
      <c r="GK10" s="280"/>
      <c r="GL10" s="280"/>
      <c r="GM10" s="280"/>
      <c r="GN10" s="280"/>
      <c r="GO10" s="280"/>
      <c r="GP10" s="280"/>
      <c r="GQ10" s="280"/>
      <c r="GR10" s="280"/>
      <c r="GS10" s="280"/>
      <c r="GT10" s="280"/>
      <c r="GU10" s="280"/>
      <c r="GV10" s="280"/>
      <c r="GW10" s="280"/>
      <c r="GX10" s="280"/>
      <c r="GY10" s="280"/>
      <c r="GZ10" s="280"/>
      <c r="HA10" s="280"/>
      <c r="HB10" s="280"/>
      <c r="HC10" s="280"/>
      <c r="HD10" s="280"/>
      <c r="HE10" s="280"/>
      <c r="HF10" s="280"/>
      <c r="HG10" s="280"/>
      <c r="HH10" s="280"/>
      <c r="HI10" s="280"/>
      <c r="HJ10" s="280"/>
      <c r="HK10" s="280"/>
      <c r="HL10" s="280"/>
      <c r="HM10" s="280"/>
      <c r="HN10" s="280"/>
      <c r="HO10" s="280"/>
      <c r="HP10" s="280"/>
      <c r="HQ10" s="280"/>
      <c r="HR10" s="280"/>
      <c r="HS10" s="280"/>
      <c r="HT10" s="280"/>
      <c r="HU10" s="280"/>
      <c r="HV10" s="280"/>
      <c r="HW10" s="280"/>
      <c r="HX10" s="280"/>
      <c r="HY10" s="280"/>
      <c r="HZ10" s="280"/>
      <c r="IA10" s="280"/>
      <c r="IB10" s="280"/>
      <c r="IC10" s="280"/>
      <c r="ID10" s="280"/>
      <c r="IE10" s="280"/>
      <c r="IF10" s="280"/>
      <c r="IG10" s="280"/>
      <c r="IH10" s="280"/>
      <c r="II10" s="280"/>
      <c r="IJ10" s="280"/>
      <c r="IK10" s="280"/>
      <c r="IL10" s="280"/>
      <c r="IM10" s="280"/>
      <c r="IN10" s="280"/>
      <c r="IO10" s="280"/>
      <c r="IP10" s="280"/>
      <c r="IQ10" s="280"/>
      <c r="IR10" s="280"/>
      <c r="IS10" s="280"/>
      <c r="IT10" s="280"/>
      <c r="IU10" s="280"/>
      <c r="IV10" s="280"/>
    </row>
    <row r="11" spans="1:256" ht="25.5">
      <c r="A11" s="284">
        <v>6</v>
      </c>
      <c r="B11" s="285">
        <v>801</v>
      </c>
      <c r="C11" s="285">
        <v>80113</v>
      </c>
      <c r="D11" s="277" t="s">
        <v>88</v>
      </c>
      <c r="E11" s="517"/>
      <c r="F11" s="286" t="s">
        <v>283</v>
      </c>
      <c r="G11" s="287">
        <f>189474.66+525.34</f>
        <v>190000</v>
      </c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0"/>
      <c r="FF11" s="280"/>
      <c r="FG11" s="280"/>
      <c r="FH11" s="280"/>
      <c r="FI11" s="280"/>
      <c r="FJ11" s="280"/>
      <c r="FK11" s="280"/>
      <c r="FL11" s="280"/>
      <c r="FM11" s="280"/>
      <c r="FN11" s="280"/>
      <c r="FO11" s="280"/>
      <c r="FP11" s="280"/>
      <c r="FQ11" s="280"/>
      <c r="FR11" s="280"/>
      <c r="FS11" s="280"/>
      <c r="FT11" s="280"/>
      <c r="FU11" s="280"/>
      <c r="FV11" s="280"/>
      <c r="FW11" s="280"/>
      <c r="FX11" s="280"/>
      <c r="FY11" s="280"/>
      <c r="FZ11" s="280"/>
      <c r="GA11" s="280"/>
      <c r="GB11" s="280"/>
      <c r="GC11" s="280"/>
      <c r="GD11" s="280"/>
      <c r="GE11" s="280"/>
      <c r="GF11" s="280"/>
      <c r="GG11" s="280"/>
      <c r="GH11" s="280"/>
      <c r="GI11" s="280"/>
      <c r="GJ11" s="280"/>
      <c r="GK11" s="280"/>
      <c r="GL11" s="280"/>
      <c r="GM11" s="280"/>
      <c r="GN11" s="280"/>
      <c r="GO11" s="280"/>
      <c r="GP11" s="280"/>
      <c r="GQ11" s="280"/>
      <c r="GR11" s="280"/>
      <c r="GS11" s="280"/>
      <c r="GT11" s="280"/>
      <c r="GU11" s="280"/>
      <c r="GV11" s="280"/>
      <c r="GW11" s="280"/>
      <c r="GX11" s="280"/>
      <c r="GY11" s="280"/>
      <c r="GZ11" s="280"/>
      <c r="HA11" s="280"/>
      <c r="HB11" s="280"/>
      <c r="HC11" s="280"/>
      <c r="HD11" s="280"/>
      <c r="HE11" s="280"/>
      <c r="HF11" s="280"/>
      <c r="HG11" s="280"/>
      <c r="HH11" s="280"/>
      <c r="HI11" s="280"/>
      <c r="HJ11" s="280"/>
      <c r="HK11" s="280"/>
      <c r="HL11" s="280"/>
      <c r="HM11" s="280"/>
      <c r="HN11" s="280"/>
      <c r="HO11" s="280"/>
      <c r="HP11" s="280"/>
      <c r="HQ11" s="280"/>
      <c r="HR11" s="280"/>
      <c r="HS11" s="280"/>
      <c r="HT11" s="280"/>
      <c r="HU11" s="280"/>
      <c r="HV11" s="280"/>
      <c r="HW11" s="280"/>
      <c r="HX11" s="280"/>
      <c r="HY11" s="280"/>
      <c r="HZ11" s="280"/>
      <c r="IA11" s="280"/>
      <c r="IB11" s="280"/>
      <c r="IC11" s="280"/>
      <c r="ID11" s="280"/>
      <c r="IE11" s="280"/>
      <c r="IF11" s="280"/>
      <c r="IG11" s="280"/>
      <c r="IH11" s="280"/>
      <c r="II11" s="280"/>
      <c r="IJ11" s="280"/>
      <c r="IK11" s="280"/>
      <c r="IL11" s="280"/>
      <c r="IM11" s="280"/>
      <c r="IN11" s="280"/>
      <c r="IO11" s="280"/>
      <c r="IP11" s="280"/>
      <c r="IQ11" s="280"/>
      <c r="IR11" s="280"/>
      <c r="IS11" s="280"/>
      <c r="IT11" s="280"/>
      <c r="IU11" s="280"/>
      <c r="IV11" s="280"/>
    </row>
    <row r="12" spans="1:256" ht="38.25">
      <c r="A12" s="284">
        <v>7</v>
      </c>
      <c r="B12" s="285">
        <v>900</v>
      </c>
      <c r="C12" s="285">
        <v>90002</v>
      </c>
      <c r="D12" s="277" t="s">
        <v>284</v>
      </c>
      <c r="E12" s="517"/>
      <c r="F12" s="286" t="s">
        <v>285</v>
      </c>
      <c r="G12" s="287">
        <f>26070-70</f>
        <v>26000</v>
      </c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0"/>
      <c r="FF12" s="280"/>
      <c r="FG12" s="280"/>
      <c r="FH12" s="280"/>
      <c r="FI12" s="280"/>
      <c r="FJ12" s="280"/>
      <c r="FK12" s="280"/>
      <c r="FL12" s="280"/>
      <c r="FM12" s="280"/>
      <c r="FN12" s="280"/>
      <c r="FO12" s="280"/>
      <c r="FP12" s="280"/>
      <c r="FQ12" s="280"/>
      <c r="FR12" s="280"/>
      <c r="FS12" s="280"/>
      <c r="FT12" s="280"/>
      <c r="FU12" s="280"/>
      <c r="FV12" s="280"/>
      <c r="FW12" s="280"/>
      <c r="FX12" s="280"/>
      <c r="FY12" s="280"/>
      <c r="FZ12" s="280"/>
      <c r="GA12" s="280"/>
      <c r="GB12" s="280"/>
      <c r="GC12" s="280"/>
      <c r="GD12" s="280"/>
      <c r="GE12" s="280"/>
      <c r="GF12" s="280"/>
      <c r="GG12" s="280"/>
      <c r="GH12" s="280"/>
      <c r="GI12" s="280"/>
      <c r="GJ12" s="280"/>
      <c r="GK12" s="280"/>
      <c r="GL12" s="280"/>
      <c r="GM12" s="280"/>
      <c r="GN12" s="280"/>
      <c r="GO12" s="280"/>
      <c r="GP12" s="280"/>
      <c r="GQ12" s="280"/>
      <c r="GR12" s="280"/>
      <c r="GS12" s="280"/>
      <c r="GT12" s="280"/>
      <c r="GU12" s="280"/>
      <c r="GV12" s="280"/>
      <c r="GW12" s="280"/>
      <c r="GX12" s="280"/>
      <c r="GY12" s="280"/>
      <c r="GZ12" s="280"/>
      <c r="HA12" s="280"/>
      <c r="HB12" s="280"/>
      <c r="HC12" s="280"/>
      <c r="HD12" s="280"/>
      <c r="HE12" s="280"/>
      <c r="HF12" s="280"/>
      <c r="HG12" s="280"/>
      <c r="HH12" s="280"/>
      <c r="HI12" s="280"/>
      <c r="HJ12" s="280"/>
      <c r="HK12" s="280"/>
      <c r="HL12" s="280"/>
      <c r="HM12" s="280"/>
      <c r="HN12" s="280"/>
      <c r="HO12" s="280"/>
      <c r="HP12" s="280"/>
      <c r="HQ12" s="280"/>
      <c r="HR12" s="280"/>
      <c r="HS12" s="280"/>
      <c r="HT12" s="280"/>
      <c r="HU12" s="280"/>
      <c r="HV12" s="280"/>
      <c r="HW12" s="280"/>
      <c r="HX12" s="280"/>
      <c r="HY12" s="280"/>
      <c r="HZ12" s="280"/>
      <c r="IA12" s="280"/>
      <c r="IB12" s="280"/>
      <c r="IC12" s="280"/>
      <c r="ID12" s="280"/>
      <c r="IE12" s="280"/>
      <c r="IF12" s="280"/>
      <c r="IG12" s="280"/>
      <c r="IH12" s="280"/>
      <c r="II12" s="280"/>
      <c r="IJ12" s="280"/>
      <c r="IK12" s="280"/>
      <c r="IL12" s="280"/>
      <c r="IM12" s="280"/>
      <c r="IN12" s="280"/>
      <c r="IO12" s="280"/>
      <c r="IP12" s="280"/>
      <c r="IQ12" s="280"/>
      <c r="IR12" s="280"/>
      <c r="IS12" s="280"/>
      <c r="IT12" s="280"/>
      <c r="IU12" s="280"/>
      <c r="IV12" s="280"/>
    </row>
    <row r="13" spans="1:256" ht="26.25" thickBot="1">
      <c r="A13" s="284">
        <v>8</v>
      </c>
      <c r="B13" s="285">
        <v>900</v>
      </c>
      <c r="C13" s="285">
        <v>90004</v>
      </c>
      <c r="D13" s="281" t="s">
        <v>286</v>
      </c>
      <c r="E13" s="518"/>
      <c r="F13" s="286" t="s">
        <v>287</v>
      </c>
      <c r="G13" s="287">
        <f>8000+8000+5000</f>
        <v>21000</v>
      </c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0"/>
      <c r="FF13" s="280"/>
      <c r="FG13" s="280"/>
      <c r="FH13" s="280"/>
      <c r="FI13" s="280"/>
      <c r="FJ13" s="280"/>
      <c r="FK13" s="280"/>
      <c r="FL13" s="280"/>
      <c r="FM13" s="280"/>
      <c r="FN13" s="280"/>
      <c r="FO13" s="280"/>
      <c r="FP13" s="280"/>
      <c r="FQ13" s="280"/>
      <c r="FR13" s="280"/>
      <c r="FS13" s="280"/>
      <c r="FT13" s="280"/>
      <c r="FU13" s="280"/>
      <c r="FV13" s="280"/>
      <c r="FW13" s="280"/>
      <c r="FX13" s="280"/>
      <c r="FY13" s="280"/>
      <c r="FZ13" s="280"/>
      <c r="GA13" s="280"/>
      <c r="GB13" s="280"/>
      <c r="GC13" s="280"/>
      <c r="GD13" s="280"/>
      <c r="GE13" s="280"/>
      <c r="GF13" s="280"/>
      <c r="GG13" s="280"/>
      <c r="GH13" s="280"/>
      <c r="GI13" s="280"/>
      <c r="GJ13" s="280"/>
      <c r="GK13" s="280"/>
      <c r="GL13" s="280"/>
      <c r="GM13" s="280"/>
      <c r="GN13" s="280"/>
      <c r="GO13" s="280"/>
      <c r="GP13" s="280"/>
      <c r="GQ13" s="280"/>
      <c r="GR13" s="280"/>
      <c r="GS13" s="280"/>
      <c r="GT13" s="280"/>
      <c r="GU13" s="280"/>
      <c r="GV13" s="280"/>
      <c r="GW13" s="280"/>
      <c r="GX13" s="280"/>
      <c r="GY13" s="280"/>
      <c r="GZ13" s="280"/>
      <c r="HA13" s="280"/>
      <c r="HB13" s="280"/>
      <c r="HC13" s="280"/>
      <c r="HD13" s="280"/>
      <c r="HE13" s="280"/>
      <c r="HF13" s="280"/>
      <c r="HG13" s="280"/>
      <c r="HH13" s="280"/>
      <c r="HI13" s="280"/>
      <c r="HJ13" s="280"/>
      <c r="HK13" s="280"/>
      <c r="HL13" s="280"/>
      <c r="HM13" s="280"/>
      <c r="HN13" s="280"/>
      <c r="HO13" s="280"/>
      <c r="HP13" s="280"/>
      <c r="HQ13" s="280"/>
      <c r="HR13" s="280"/>
      <c r="HS13" s="280"/>
      <c r="HT13" s="280"/>
      <c r="HU13" s="280"/>
      <c r="HV13" s="280"/>
      <c r="HW13" s="280"/>
      <c r="HX13" s="280"/>
      <c r="HY13" s="280"/>
      <c r="HZ13" s="280"/>
      <c r="IA13" s="280"/>
      <c r="IB13" s="280"/>
      <c r="IC13" s="280"/>
      <c r="ID13" s="280"/>
      <c r="IE13" s="280"/>
      <c r="IF13" s="280"/>
      <c r="IG13" s="280"/>
      <c r="IH13" s="280"/>
      <c r="II13" s="280"/>
      <c r="IJ13" s="280"/>
      <c r="IK13" s="280"/>
      <c r="IL13" s="280"/>
      <c r="IM13" s="280"/>
      <c r="IN13" s="280"/>
      <c r="IO13" s="280"/>
      <c r="IP13" s="280"/>
      <c r="IQ13" s="280"/>
      <c r="IR13" s="280"/>
      <c r="IS13" s="280"/>
      <c r="IT13" s="280"/>
      <c r="IU13" s="280"/>
      <c r="IV13" s="280"/>
    </row>
    <row r="14" spans="1:7" ht="15.75" customHeight="1" thickBot="1">
      <c r="A14" s="288" t="s">
        <v>288</v>
      </c>
      <c r="B14" s="289"/>
      <c r="C14" s="289"/>
      <c r="D14" s="289"/>
      <c r="E14" s="289"/>
      <c r="F14" s="289"/>
      <c r="G14" s="290">
        <f>G15+G20</f>
        <v>786176.4</v>
      </c>
    </row>
    <row r="15" spans="1:7" ht="15.75" customHeight="1">
      <c r="A15" s="272" t="s">
        <v>289</v>
      </c>
      <c r="B15" s="273"/>
      <c r="C15" s="273"/>
      <c r="D15" s="273"/>
      <c r="E15" s="273"/>
      <c r="F15" s="273"/>
      <c r="G15" s="274">
        <f>SUM(G16:G19)</f>
        <v>575000</v>
      </c>
    </row>
    <row r="16" spans="1:7" ht="36.75" customHeight="1">
      <c r="A16" s="284">
        <v>1</v>
      </c>
      <c r="B16" s="285">
        <v>921</v>
      </c>
      <c r="C16" s="285">
        <v>92109</v>
      </c>
      <c r="D16" s="291" t="s">
        <v>91</v>
      </c>
      <c r="E16" s="286" t="s">
        <v>290</v>
      </c>
      <c r="F16" s="286" t="s">
        <v>291</v>
      </c>
      <c r="G16" s="287">
        <f>208000+60000+20000+12000+10000</f>
        <v>310000</v>
      </c>
    </row>
    <row r="17" spans="1:7" ht="30" customHeight="1">
      <c r="A17" s="284">
        <v>2</v>
      </c>
      <c r="B17" s="285">
        <v>921</v>
      </c>
      <c r="C17" s="285">
        <v>92116</v>
      </c>
      <c r="D17" s="285" t="s">
        <v>292</v>
      </c>
      <c r="E17" s="286" t="s">
        <v>290</v>
      </c>
      <c r="F17" s="286" t="s">
        <v>293</v>
      </c>
      <c r="G17" s="287">
        <f>184000+17000</f>
        <v>201000</v>
      </c>
    </row>
    <row r="18" spans="1:7" ht="30" customHeight="1">
      <c r="A18" s="284">
        <v>3</v>
      </c>
      <c r="B18" s="285">
        <v>921</v>
      </c>
      <c r="C18" s="285">
        <v>92195</v>
      </c>
      <c r="D18" s="291" t="s">
        <v>294</v>
      </c>
      <c r="E18" s="286" t="s">
        <v>290</v>
      </c>
      <c r="F18" s="286" t="s">
        <v>295</v>
      </c>
      <c r="G18" s="287">
        <f>25000+31000</f>
        <v>56000</v>
      </c>
    </row>
    <row r="19" spans="1:8" ht="39" thickBot="1">
      <c r="A19" s="284">
        <v>4</v>
      </c>
      <c r="B19" s="285">
        <v>926</v>
      </c>
      <c r="C19" s="285">
        <v>92605</v>
      </c>
      <c r="D19" s="291" t="s">
        <v>296</v>
      </c>
      <c r="E19" s="286" t="s">
        <v>290</v>
      </c>
      <c r="F19" s="286" t="s">
        <v>297</v>
      </c>
      <c r="G19" s="287">
        <v>8000</v>
      </c>
      <c r="H19" s="292"/>
    </row>
    <row r="20" spans="1:7" ht="15.75" customHeight="1">
      <c r="A20" s="272" t="s">
        <v>298</v>
      </c>
      <c r="B20" s="273"/>
      <c r="C20" s="273"/>
      <c r="D20" s="273"/>
      <c r="E20" s="273"/>
      <c r="F20" s="273"/>
      <c r="G20" s="293">
        <f>G21+G22</f>
        <v>211176.4</v>
      </c>
    </row>
    <row r="21" spans="1:7" ht="51">
      <c r="A21" s="284">
        <v>1</v>
      </c>
      <c r="B21" s="285">
        <v>801</v>
      </c>
      <c r="C21" s="285">
        <v>80104</v>
      </c>
      <c r="D21" s="285" t="s">
        <v>299</v>
      </c>
      <c r="E21" s="286" t="s">
        <v>300</v>
      </c>
      <c r="F21" s="286" t="s">
        <v>301</v>
      </c>
      <c r="G21" s="294">
        <f>113760+7584+84647.8-10000+10000+2000</f>
        <v>207991.8</v>
      </c>
    </row>
    <row r="22" spans="1:7" ht="51">
      <c r="A22" s="284">
        <v>2</v>
      </c>
      <c r="B22" s="285">
        <v>854</v>
      </c>
      <c r="C22" s="285">
        <v>85404</v>
      </c>
      <c r="D22" s="285" t="s">
        <v>299</v>
      </c>
      <c r="E22" s="286" t="s">
        <v>300</v>
      </c>
      <c r="F22" s="286" t="s">
        <v>302</v>
      </c>
      <c r="G22" s="294">
        <f>4346.4+138.2-1300</f>
        <v>3184.5999999999995</v>
      </c>
    </row>
    <row r="23" spans="1:7" ht="15.75" customHeight="1">
      <c r="A23" s="288" t="s">
        <v>303</v>
      </c>
      <c r="B23" s="289"/>
      <c r="C23" s="289"/>
      <c r="D23" s="289"/>
      <c r="E23" s="289"/>
      <c r="F23" s="289"/>
      <c r="G23" s="290">
        <f>G24+G41</f>
        <v>987320.02</v>
      </c>
    </row>
    <row r="24" spans="1:7" ht="15.75" customHeight="1">
      <c r="A24" s="272" t="s">
        <v>304</v>
      </c>
      <c r="B24" s="273"/>
      <c r="C24" s="273"/>
      <c r="D24" s="273"/>
      <c r="E24" s="273"/>
      <c r="F24" s="273"/>
      <c r="G24" s="293">
        <f>SUM(G25:G40)</f>
        <v>775189.84</v>
      </c>
    </row>
    <row r="25" spans="1:7" ht="41.25" customHeight="1">
      <c r="A25" s="284">
        <v>1</v>
      </c>
      <c r="B25" s="285">
        <v>851</v>
      </c>
      <c r="C25" s="285">
        <v>85154</v>
      </c>
      <c r="D25" s="291" t="s">
        <v>305</v>
      </c>
      <c r="E25" s="286" t="s">
        <v>290</v>
      </c>
      <c r="F25" s="286" t="s">
        <v>306</v>
      </c>
      <c r="G25" s="287">
        <v>36000</v>
      </c>
    </row>
    <row r="26" spans="1:7" ht="41.25" customHeight="1">
      <c r="A26" s="284">
        <v>2</v>
      </c>
      <c r="B26" s="285">
        <v>851</v>
      </c>
      <c r="C26" s="285">
        <v>85121</v>
      </c>
      <c r="D26" s="291" t="s">
        <v>307</v>
      </c>
      <c r="E26" s="286" t="s">
        <v>308</v>
      </c>
      <c r="F26" s="286" t="s">
        <v>309</v>
      </c>
      <c r="G26" s="287">
        <v>20000</v>
      </c>
    </row>
    <row r="27" spans="1:7" ht="81.75" customHeight="1">
      <c r="A27" s="284">
        <v>3</v>
      </c>
      <c r="B27" s="285">
        <v>851</v>
      </c>
      <c r="C27" s="285">
        <v>85121</v>
      </c>
      <c r="D27" s="291" t="s">
        <v>307</v>
      </c>
      <c r="E27" s="286" t="s">
        <v>308</v>
      </c>
      <c r="F27" s="295" t="s">
        <v>347</v>
      </c>
      <c r="G27" s="287">
        <v>80000</v>
      </c>
    </row>
    <row r="28" spans="1:7" ht="54" customHeight="1">
      <c r="A28" s="284">
        <v>4</v>
      </c>
      <c r="B28" s="285">
        <v>921</v>
      </c>
      <c r="C28" s="285">
        <v>92109</v>
      </c>
      <c r="D28" s="291" t="s">
        <v>91</v>
      </c>
      <c r="E28" s="286" t="s">
        <v>290</v>
      </c>
      <c r="F28" s="286" t="s">
        <v>336</v>
      </c>
      <c r="G28" s="287">
        <f>156742-39261-30666</f>
        <v>86815</v>
      </c>
    </row>
    <row r="29" spans="1:7" ht="66.75" customHeight="1">
      <c r="A29" s="296">
        <v>5</v>
      </c>
      <c r="B29" s="297" t="s">
        <v>277</v>
      </c>
      <c r="C29" s="297" t="s">
        <v>278</v>
      </c>
      <c r="D29" s="298" t="s">
        <v>310</v>
      </c>
      <c r="E29" s="299" t="s">
        <v>280</v>
      </c>
      <c r="F29" s="299" t="s">
        <v>337</v>
      </c>
      <c r="G29" s="300">
        <v>100710</v>
      </c>
    </row>
    <row r="30" spans="1:7" ht="53.25" customHeight="1">
      <c r="A30" s="284">
        <v>6</v>
      </c>
      <c r="B30" s="297" t="s">
        <v>277</v>
      </c>
      <c r="C30" s="297" t="s">
        <v>278</v>
      </c>
      <c r="D30" s="298" t="s">
        <v>310</v>
      </c>
      <c r="E30" s="299" t="s">
        <v>280</v>
      </c>
      <c r="F30" s="299" t="s">
        <v>338</v>
      </c>
      <c r="G30" s="300">
        <f>71000-21000</f>
        <v>50000</v>
      </c>
    </row>
    <row r="31" spans="1:7" ht="41.25" customHeight="1">
      <c r="A31" s="296">
        <v>7</v>
      </c>
      <c r="B31" s="297" t="s">
        <v>277</v>
      </c>
      <c r="C31" s="297" t="s">
        <v>278</v>
      </c>
      <c r="D31" s="298" t="s">
        <v>310</v>
      </c>
      <c r="E31" s="299" t="s">
        <v>280</v>
      </c>
      <c r="F31" s="301" t="s">
        <v>339</v>
      </c>
      <c r="G31" s="300">
        <v>15000</v>
      </c>
    </row>
    <row r="32" spans="1:7" ht="43.5" customHeight="1">
      <c r="A32" s="284">
        <v>8</v>
      </c>
      <c r="B32" s="297" t="s">
        <v>277</v>
      </c>
      <c r="C32" s="297" t="s">
        <v>278</v>
      </c>
      <c r="D32" s="298" t="s">
        <v>310</v>
      </c>
      <c r="E32" s="299" t="s">
        <v>280</v>
      </c>
      <c r="F32" s="301" t="s">
        <v>340</v>
      </c>
      <c r="G32" s="300">
        <f>30000-20000</f>
        <v>10000</v>
      </c>
    </row>
    <row r="33" spans="1:9" ht="55.5" customHeight="1">
      <c r="A33" s="296">
        <v>9</v>
      </c>
      <c r="B33" s="297" t="s">
        <v>277</v>
      </c>
      <c r="C33" s="297" t="s">
        <v>278</v>
      </c>
      <c r="D33" s="298" t="s">
        <v>310</v>
      </c>
      <c r="E33" s="299" t="s">
        <v>280</v>
      </c>
      <c r="F33" s="301" t="s">
        <v>341</v>
      </c>
      <c r="G33" s="300">
        <f>87000-25000</f>
        <v>62000</v>
      </c>
      <c r="I33" s="292"/>
    </row>
    <row r="34" spans="1:9" ht="68.25" customHeight="1">
      <c r="A34" s="284">
        <v>10</v>
      </c>
      <c r="B34" s="297" t="s">
        <v>277</v>
      </c>
      <c r="C34" s="297" t="s">
        <v>278</v>
      </c>
      <c r="D34" s="298" t="s">
        <v>310</v>
      </c>
      <c r="E34" s="299" t="s">
        <v>280</v>
      </c>
      <c r="F34" s="299" t="s">
        <v>342</v>
      </c>
      <c r="G34" s="300">
        <v>32000</v>
      </c>
      <c r="I34" s="292"/>
    </row>
    <row r="35" spans="1:9" ht="56.25" customHeight="1">
      <c r="A35" s="296">
        <v>11</v>
      </c>
      <c r="B35" s="297" t="s">
        <v>277</v>
      </c>
      <c r="C35" s="297" t="s">
        <v>278</v>
      </c>
      <c r="D35" s="298" t="s">
        <v>310</v>
      </c>
      <c r="E35" s="299" t="s">
        <v>280</v>
      </c>
      <c r="F35" s="299" t="s">
        <v>343</v>
      </c>
      <c r="G35" s="300">
        <f>35000-7000</f>
        <v>28000</v>
      </c>
      <c r="I35" s="292"/>
    </row>
    <row r="36" spans="1:7" ht="44.25" customHeight="1">
      <c r="A36" s="284">
        <v>12</v>
      </c>
      <c r="B36" s="302" t="s">
        <v>311</v>
      </c>
      <c r="C36" s="302" t="s">
        <v>312</v>
      </c>
      <c r="D36" s="298" t="s">
        <v>284</v>
      </c>
      <c r="E36" s="299" t="s">
        <v>280</v>
      </c>
      <c r="F36" s="301" t="s">
        <v>344</v>
      </c>
      <c r="G36" s="300">
        <v>8000</v>
      </c>
    </row>
    <row r="37" spans="1:7" ht="71.25" customHeight="1">
      <c r="A37" s="284">
        <v>13</v>
      </c>
      <c r="B37" s="297" t="s">
        <v>313</v>
      </c>
      <c r="C37" s="297" t="s">
        <v>314</v>
      </c>
      <c r="D37" s="298" t="s">
        <v>315</v>
      </c>
      <c r="E37" s="299" t="s">
        <v>280</v>
      </c>
      <c r="F37" s="299" t="s">
        <v>345</v>
      </c>
      <c r="G37" s="300">
        <v>8610</v>
      </c>
    </row>
    <row r="38" spans="1:7" ht="54" customHeight="1">
      <c r="A38" s="284">
        <v>14</v>
      </c>
      <c r="B38" s="285">
        <v>801</v>
      </c>
      <c r="C38" s="285">
        <v>80104</v>
      </c>
      <c r="D38" s="285" t="s">
        <v>299</v>
      </c>
      <c r="E38" s="286" t="s">
        <v>316</v>
      </c>
      <c r="F38" s="286" t="s">
        <v>317</v>
      </c>
      <c r="G38" s="294">
        <f>60000+12954.84+15100</f>
        <v>88054.84</v>
      </c>
    </row>
    <row r="39" spans="1:7" ht="30.75" customHeight="1">
      <c r="A39" s="284">
        <v>15</v>
      </c>
      <c r="B39" s="285">
        <v>600</v>
      </c>
      <c r="C39" s="285">
        <v>60004</v>
      </c>
      <c r="D39" s="303" t="s">
        <v>318</v>
      </c>
      <c r="E39" s="304" t="s">
        <v>319</v>
      </c>
      <c r="F39" s="304" t="s">
        <v>320</v>
      </c>
      <c r="G39" s="287">
        <v>50000</v>
      </c>
    </row>
    <row r="40" spans="1:7" ht="66" customHeight="1" thickBot="1">
      <c r="A40" s="284">
        <v>16</v>
      </c>
      <c r="B40" s="285">
        <v>600</v>
      </c>
      <c r="C40" s="285">
        <v>60014</v>
      </c>
      <c r="D40" s="291" t="s">
        <v>321</v>
      </c>
      <c r="E40" s="286" t="s">
        <v>322</v>
      </c>
      <c r="F40" s="286" t="s">
        <v>346</v>
      </c>
      <c r="G40" s="287">
        <v>100000</v>
      </c>
    </row>
    <row r="41" spans="1:7" ht="15.75" customHeight="1">
      <c r="A41" s="272" t="s">
        <v>323</v>
      </c>
      <c r="B41" s="273"/>
      <c r="C41" s="273"/>
      <c r="D41" s="273"/>
      <c r="E41" s="273"/>
      <c r="F41" s="273"/>
      <c r="G41" s="293">
        <f>SUM(G42:G44)</f>
        <v>212130.18</v>
      </c>
    </row>
    <row r="42" spans="1:9" ht="38.25">
      <c r="A42" s="305">
        <v>1</v>
      </c>
      <c r="B42" s="306">
        <v>926</v>
      </c>
      <c r="C42" s="306">
        <v>92605</v>
      </c>
      <c r="D42" s="307" t="s">
        <v>296</v>
      </c>
      <c r="E42" s="307" t="s">
        <v>324</v>
      </c>
      <c r="F42" s="308" t="s">
        <v>325</v>
      </c>
      <c r="G42" s="309">
        <f>85000+5000</f>
        <v>90000</v>
      </c>
      <c r="I42" s="310">
        <f>G45-G30-G31-G32-G37-G33-G28-G34-G35-G44-G36-G29-G40-G27</f>
        <v>2085631.2399999998</v>
      </c>
    </row>
    <row r="43" spans="1:7" s="315" customFormat="1" ht="40.5" customHeight="1">
      <c r="A43" s="311">
        <v>2</v>
      </c>
      <c r="B43" s="312">
        <v>921</v>
      </c>
      <c r="C43" s="312">
        <v>92120</v>
      </c>
      <c r="D43" s="313" t="s">
        <v>326</v>
      </c>
      <c r="E43" s="313" t="s">
        <v>327</v>
      </c>
      <c r="F43" s="313" t="s">
        <v>328</v>
      </c>
      <c r="G43" s="314">
        <f>20400+40000</f>
        <v>60400</v>
      </c>
    </row>
    <row r="44" spans="1:7" s="315" customFormat="1" ht="40.5" customHeight="1" thickBot="1">
      <c r="A44" s="316">
        <v>3</v>
      </c>
      <c r="B44" s="317">
        <v>754</v>
      </c>
      <c r="C44" s="317">
        <v>75412</v>
      </c>
      <c r="D44" s="318" t="s">
        <v>85</v>
      </c>
      <c r="E44" s="318" t="s">
        <v>327</v>
      </c>
      <c r="F44" s="319" t="s">
        <v>329</v>
      </c>
      <c r="G44" s="320">
        <f>20215+20757.59*2</f>
        <v>61730.18</v>
      </c>
    </row>
    <row r="45" spans="1:9" ht="19.5" customHeight="1" thickBot="1">
      <c r="A45" s="515" t="s">
        <v>330</v>
      </c>
      <c r="B45" s="515"/>
      <c r="C45" s="515"/>
      <c r="D45" s="515"/>
      <c r="E45" s="515"/>
      <c r="F45" s="515"/>
      <c r="G45" s="321">
        <f>G23+G14+G5</f>
        <v>2728496.42</v>
      </c>
      <c r="I45" s="310"/>
    </row>
    <row r="46" spans="1:9" ht="19.5" customHeight="1" thickBot="1">
      <c r="A46" s="519" t="s">
        <v>331</v>
      </c>
      <c r="B46" s="520"/>
      <c r="C46" s="520"/>
      <c r="D46" s="520"/>
      <c r="E46" s="520"/>
      <c r="F46" s="521"/>
      <c r="G46" s="321">
        <f>I42</f>
        <v>2085631.2399999998</v>
      </c>
      <c r="I46" s="310"/>
    </row>
    <row r="47" spans="2:8" ht="12.75">
      <c r="B47" s="322"/>
      <c r="D47" s="322"/>
      <c r="H47" s="292"/>
    </row>
  </sheetData>
  <mergeCells count="4">
    <mergeCell ref="A1:G1"/>
    <mergeCell ref="A45:F45"/>
    <mergeCell ref="E7:E13"/>
    <mergeCell ref="A46:F46"/>
  </mergeCells>
  <printOptions horizontalCentered="1"/>
  <pageMargins left="0.7874015748031497" right="0.7874015748031497" top="0.7874015748031497" bottom="0.54" header="0.1968503937007874" footer="0.28"/>
  <pageSetup fitToHeight="2" fitToWidth="1" horizontalDpi="600" verticalDpi="600" orientation="portrait" paperSize="9" scale="89" r:id="rId1"/>
  <headerFooter alignWithMargins="0">
    <oddHeader>&amp;R&amp;"Arial CE,Pogrubiony"Załącznik Nr &amp;A&amp;"Arial CE,Standardowy"
do Uchwały Nr XXVII/169/2012 
      Rady Gminy Miłkowice
z dnia 18 grudnia 2012r.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72"/>
  <sheetViews>
    <sheetView zoomScale="80" zoomScaleNormal="80" workbookViewId="0" topLeftCell="A49">
      <selection activeCell="AT33" sqref="AT33"/>
    </sheetView>
  </sheetViews>
  <sheetFormatPr defaultColWidth="9.33203125" defaultRowHeight="12.75"/>
  <cols>
    <col min="1" max="1" width="4" style="323" customWidth="1"/>
    <col min="2" max="2" width="17.66015625" style="323" customWidth="1"/>
    <col min="3" max="3" width="22.66015625" style="323" customWidth="1"/>
    <col min="4" max="4" width="49.83203125" style="323" customWidth="1"/>
    <col min="5" max="5" width="16.83203125" style="323" customWidth="1"/>
    <col min="6" max="28" width="10.16015625" style="323" hidden="1" customWidth="1"/>
    <col min="29" max="29" width="14.5" style="323" hidden="1" customWidth="1"/>
    <col min="30" max="30" width="16.66015625" style="323" hidden="1" customWidth="1"/>
    <col min="31" max="40" width="10" style="323" hidden="1" customWidth="1"/>
    <col min="41" max="16384" width="10" style="323" customWidth="1"/>
  </cols>
  <sheetData>
    <row r="1" ht="6" customHeight="1"/>
    <row r="2" spans="1:29" ht="25.5" customHeight="1">
      <c r="A2" s="522" t="s">
        <v>348</v>
      </c>
      <c r="B2" s="522"/>
      <c r="C2" s="522"/>
      <c r="D2" s="522"/>
      <c r="E2" s="522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</row>
    <row r="3" spans="1:29" ht="12.75" customHeight="1" thickBo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</row>
    <row r="4" spans="1:40" ht="71.25" customHeight="1" thickBot="1">
      <c r="A4" s="326" t="s">
        <v>94</v>
      </c>
      <c r="B4" s="327" t="s">
        <v>349</v>
      </c>
      <c r="C4" s="327" t="s">
        <v>350</v>
      </c>
      <c r="D4" s="327" t="s">
        <v>351</v>
      </c>
      <c r="E4" s="327" t="s">
        <v>352</v>
      </c>
      <c r="F4" s="328" t="s">
        <v>353</v>
      </c>
      <c r="G4" s="328" t="s">
        <v>354</v>
      </c>
      <c r="H4" s="328" t="s">
        <v>355</v>
      </c>
      <c r="I4" s="328" t="s">
        <v>356</v>
      </c>
      <c r="J4" s="328" t="s">
        <v>357</v>
      </c>
      <c r="K4" s="328" t="s">
        <v>358</v>
      </c>
      <c r="L4" s="328" t="s">
        <v>359</v>
      </c>
      <c r="M4" s="328" t="s">
        <v>360</v>
      </c>
      <c r="N4" s="328" t="s">
        <v>361</v>
      </c>
      <c r="O4" s="328" t="s">
        <v>362</v>
      </c>
      <c r="P4" s="328" t="s">
        <v>363</v>
      </c>
      <c r="Q4" s="328" t="s">
        <v>364</v>
      </c>
      <c r="R4" s="328" t="s">
        <v>365</v>
      </c>
      <c r="S4" s="328" t="s">
        <v>366</v>
      </c>
      <c r="T4" s="328" t="s">
        <v>367</v>
      </c>
      <c r="U4" s="328" t="s">
        <v>368</v>
      </c>
      <c r="V4" s="328" t="s">
        <v>369</v>
      </c>
      <c r="W4" s="328" t="s">
        <v>370</v>
      </c>
      <c r="X4" s="328" t="s">
        <v>371</v>
      </c>
      <c r="Y4" s="328" t="s">
        <v>372</v>
      </c>
      <c r="Z4" s="328" t="s">
        <v>373</v>
      </c>
      <c r="AA4" s="328" t="s">
        <v>374</v>
      </c>
      <c r="AB4" s="328" t="s">
        <v>375</v>
      </c>
      <c r="AC4" s="329" t="s">
        <v>376</v>
      </c>
      <c r="AD4" s="330"/>
      <c r="AF4" s="331"/>
      <c r="AG4" s="332" t="s">
        <v>377</v>
      </c>
      <c r="AH4" s="331">
        <v>60016</v>
      </c>
      <c r="AI4" s="331">
        <v>75412</v>
      </c>
      <c r="AJ4" s="331">
        <v>90004</v>
      </c>
      <c r="AK4" s="331">
        <v>90008</v>
      </c>
      <c r="AL4" s="331">
        <v>92109</v>
      </c>
      <c r="AM4" s="331">
        <v>92195</v>
      </c>
      <c r="AN4" s="331"/>
    </row>
    <row r="5" spans="1:40" ht="29.25" customHeight="1" thickBot="1">
      <c r="A5" s="333">
        <v>1</v>
      </c>
      <c r="B5" s="334" t="s">
        <v>378</v>
      </c>
      <c r="C5" s="335">
        <v>6157</v>
      </c>
      <c r="D5" s="336" t="s">
        <v>379</v>
      </c>
      <c r="E5" s="337">
        <f aca="true" t="shared" si="0" ref="E5:E52">AC5</f>
        <v>6157</v>
      </c>
      <c r="F5" s="337"/>
      <c r="G5" s="337"/>
      <c r="H5" s="337"/>
      <c r="I5" s="337">
        <v>6157</v>
      </c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8">
        <f aca="true" t="shared" si="1" ref="AC5:AC34">SUM(F5:Y5)</f>
        <v>6157</v>
      </c>
      <c r="AD5" s="339">
        <f>AC5</f>
        <v>6157</v>
      </c>
      <c r="AF5" s="331"/>
      <c r="AG5" s="332"/>
      <c r="AH5" s="331"/>
      <c r="AI5" s="331"/>
      <c r="AJ5" s="331"/>
      <c r="AK5" s="331"/>
      <c r="AL5" s="331"/>
      <c r="AM5" s="331"/>
      <c r="AN5" s="331"/>
    </row>
    <row r="6" spans="1:40" ht="23.25" customHeight="1" thickBot="1">
      <c r="A6" s="536">
        <v>2</v>
      </c>
      <c r="B6" s="538" t="s">
        <v>380</v>
      </c>
      <c r="C6" s="532">
        <v>7049</v>
      </c>
      <c r="D6" s="342" t="s">
        <v>381</v>
      </c>
      <c r="E6" s="343">
        <f t="shared" si="0"/>
        <v>4500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>
        <v>4500</v>
      </c>
      <c r="Y6" s="343"/>
      <c r="Z6" s="343"/>
      <c r="AA6" s="343"/>
      <c r="AB6" s="343"/>
      <c r="AC6" s="338">
        <f t="shared" si="1"/>
        <v>4500</v>
      </c>
      <c r="AD6" s="552">
        <f>AC6+AC7</f>
        <v>6500</v>
      </c>
      <c r="AF6" s="331">
        <v>4210</v>
      </c>
      <c r="AG6" s="332"/>
      <c r="AH6" s="331"/>
      <c r="AI6" s="331">
        <f>1500</f>
        <v>1500</v>
      </c>
      <c r="AJ6" s="331">
        <f>2000+500+500-2000</f>
        <v>1000</v>
      </c>
      <c r="AK6" s="331">
        <f>128+1000</f>
        <v>1128</v>
      </c>
      <c r="AL6" s="331">
        <f>2157+2783+1200+500+1500+2000+7000+200</f>
        <v>17340</v>
      </c>
      <c r="AM6" s="331">
        <f>1900+1000+2500+1500+1500</f>
        <v>8400</v>
      </c>
      <c r="AN6" s="331"/>
    </row>
    <row r="7" spans="1:40" ht="28.5" customHeight="1" thickBot="1">
      <c r="A7" s="536"/>
      <c r="B7" s="538"/>
      <c r="C7" s="532"/>
      <c r="D7" s="344" t="s">
        <v>382</v>
      </c>
      <c r="E7" s="345">
        <f t="shared" si="0"/>
        <v>2000</v>
      </c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>
        <v>2000</v>
      </c>
      <c r="X7" s="345"/>
      <c r="Y7" s="345"/>
      <c r="Z7" s="345"/>
      <c r="AA7" s="345"/>
      <c r="AB7" s="345"/>
      <c r="AC7" s="346">
        <f t="shared" si="1"/>
        <v>2000</v>
      </c>
      <c r="AD7" s="553"/>
      <c r="AF7" s="331">
        <v>4300</v>
      </c>
      <c r="AG7" s="331">
        <f>4000</f>
        <v>4000</v>
      </c>
      <c r="AH7" s="331">
        <f>4500+2197+2000</f>
        <v>8697</v>
      </c>
      <c r="AI7" s="331"/>
      <c r="AJ7" s="331"/>
      <c r="AK7" s="331"/>
      <c r="AL7" s="331"/>
      <c r="AM7" s="331">
        <f>3000+1000+2000+1000+1500+1000+1300+1100+1000</f>
        <v>12900</v>
      </c>
      <c r="AN7" s="331"/>
    </row>
    <row r="8" spans="1:40" ht="32.25" customHeight="1" thickBot="1">
      <c r="A8" s="536">
        <v>3</v>
      </c>
      <c r="B8" s="538" t="s">
        <v>383</v>
      </c>
      <c r="C8" s="532">
        <v>12660</v>
      </c>
      <c r="D8" s="347" t="s">
        <v>384</v>
      </c>
      <c r="E8" s="343">
        <f t="shared" si="0"/>
        <v>2000</v>
      </c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>
        <v>2000</v>
      </c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38">
        <f t="shared" si="1"/>
        <v>2000</v>
      </c>
      <c r="AD8" s="552">
        <f>AC8+AC9+AC10+AC11</f>
        <v>12660</v>
      </c>
      <c r="AF8" s="348" t="s">
        <v>385</v>
      </c>
      <c r="AG8" s="348">
        <f aca="true" t="shared" si="2" ref="AG8:AM8">SUM(AG6:AG7)</f>
        <v>4000</v>
      </c>
      <c r="AH8" s="348">
        <f t="shared" si="2"/>
        <v>8697</v>
      </c>
      <c r="AI8" s="348">
        <f t="shared" si="2"/>
        <v>1500</v>
      </c>
      <c r="AJ8" s="348">
        <f t="shared" si="2"/>
        <v>1000</v>
      </c>
      <c r="AK8" s="348">
        <f t="shared" si="2"/>
        <v>1128</v>
      </c>
      <c r="AL8" s="348">
        <f t="shared" si="2"/>
        <v>17340</v>
      </c>
      <c r="AM8" s="348">
        <f t="shared" si="2"/>
        <v>21300</v>
      </c>
      <c r="AN8" s="348">
        <f aca="true" t="shared" si="3" ref="AN8:AN15">SUM(AG8:AM8)</f>
        <v>54965</v>
      </c>
    </row>
    <row r="9" spans="1:40" ht="19.5" customHeight="1" thickBot="1">
      <c r="A9" s="536"/>
      <c r="B9" s="538"/>
      <c r="C9" s="532"/>
      <c r="D9" s="349" t="s">
        <v>386</v>
      </c>
      <c r="E9" s="350">
        <f t="shared" si="0"/>
        <v>2000</v>
      </c>
      <c r="F9" s="350"/>
      <c r="G9" s="350"/>
      <c r="H9" s="350"/>
      <c r="I9" s="350"/>
      <c r="J9" s="350"/>
      <c r="K9" s="350"/>
      <c r="L9" s="350"/>
      <c r="M9" s="350"/>
      <c r="N9" s="350"/>
      <c r="O9" s="350">
        <v>2000</v>
      </c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1">
        <f t="shared" si="1"/>
        <v>2000</v>
      </c>
      <c r="AD9" s="553"/>
      <c r="AF9" s="331">
        <v>6050</v>
      </c>
      <c r="AG9" s="331"/>
      <c r="AH9" s="331">
        <f>3500+17231</f>
        <v>20731</v>
      </c>
      <c r="AI9" s="331">
        <v>3700</v>
      </c>
      <c r="AJ9" s="331">
        <f>5500+8500</f>
        <v>14000</v>
      </c>
      <c r="AK9" s="331"/>
      <c r="AL9" s="331">
        <f>4000+6199+5400+6075+18200+7240+5095-200-75</f>
        <v>51934</v>
      </c>
      <c r="AM9" s="331">
        <f>4000+7000+4200+5000-7000</f>
        <v>13200</v>
      </c>
      <c r="AN9" s="331">
        <f t="shared" si="3"/>
        <v>103565</v>
      </c>
    </row>
    <row r="10" spans="1:40" ht="18.75" customHeight="1" thickBot="1">
      <c r="A10" s="536"/>
      <c r="B10" s="538"/>
      <c r="C10" s="532"/>
      <c r="D10" s="349" t="s">
        <v>387</v>
      </c>
      <c r="E10" s="350">
        <f t="shared" si="0"/>
        <v>660</v>
      </c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>
        <v>660</v>
      </c>
      <c r="W10" s="350"/>
      <c r="X10" s="350"/>
      <c r="Y10" s="350"/>
      <c r="Z10" s="350"/>
      <c r="AA10" s="350"/>
      <c r="AB10" s="350"/>
      <c r="AC10" s="351">
        <f t="shared" si="1"/>
        <v>660</v>
      </c>
      <c r="AD10" s="553"/>
      <c r="AF10" s="331">
        <v>6050</v>
      </c>
      <c r="AG10" s="331"/>
      <c r="AH10" s="331">
        <f>3500+17231</f>
        <v>20731</v>
      </c>
      <c r="AI10" s="331">
        <v>3700</v>
      </c>
      <c r="AJ10" s="331">
        <f>5500+8500</f>
        <v>14000</v>
      </c>
      <c r="AK10" s="331"/>
      <c r="AL10" s="331">
        <f>4000+6199+5400+6075+18200+7240+5095-200-75</f>
        <v>51934</v>
      </c>
      <c r="AM10" s="331">
        <f>4000+7000+4200+5000-7000</f>
        <v>13200</v>
      </c>
      <c r="AN10" s="331">
        <f t="shared" si="3"/>
        <v>103565</v>
      </c>
    </row>
    <row r="11" spans="1:40" ht="28.5" customHeight="1" thickBot="1">
      <c r="A11" s="536"/>
      <c r="B11" s="538"/>
      <c r="C11" s="532"/>
      <c r="D11" s="344" t="s">
        <v>388</v>
      </c>
      <c r="E11" s="345">
        <f t="shared" si="0"/>
        <v>8000</v>
      </c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>
        <v>8000</v>
      </c>
      <c r="Y11" s="345"/>
      <c r="Z11" s="345"/>
      <c r="AA11" s="345"/>
      <c r="AB11" s="345"/>
      <c r="AC11" s="352">
        <f t="shared" si="1"/>
        <v>8000</v>
      </c>
      <c r="AD11" s="553"/>
      <c r="AF11" s="348" t="s">
        <v>389</v>
      </c>
      <c r="AG11" s="348">
        <f aca="true" t="shared" si="4" ref="AG11:AM11">SUM(AG8:AG9)</f>
        <v>4000</v>
      </c>
      <c r="AH11" s="348">
        <f t="shared" si="4"/>
        <v>29428</v>
      </c>
      <c r="AI11" s="348">
        <f t="shared" si="4"/>
        <v>5200</v>
      </c>
      <c r="AJ11" s="348">
        <f t="shared" si="4"/>
        <v>15000</v>
      </c>
      <c r="AK11" s="348">
        <f t="shared" si="4"/>
        <v>1128</v>
      </c>
      <c r="AL11" s="348">
        <f t="shared" si="4"/>
        <v>69274</v>
      </c>
      <c r="AM11" s="348">
        <f t="shared" si="4"/>
        <v>34500</v>
      </c>
      <c r="AN11" s="348">
        <f t="shared" si="3"/>
        <v>158530</v>
      </c>
    </row>
    <row r="12" spans="1:40" ht="28.5" customHeight="1" thickBot="1">
      <c r="A12" s="536">
        <v>3</v>
      </c>
      <c r="B12" s="538" t="s">
        <v>390</v>
      </c>
      <c r="C12" s="532">
        <v>6533</v>
      </c>
      <c r="D12" s="349" t="s">
        <v>391</v>
      </c>
      <c r="E12" s="343">
        <f t="shared" si="0"/>
        <v>2500</v>
      </c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>
        <v>2500</v>
      </c>
      <c r="X12" s="343"/>
      <c r="Y12" s="343"/>
      <c r="Z12" s="343"/>
      <c r="AA12" s="343"/>
      <c r="AB12" s="343"/>
      <c r="AC12" s="338">
        <f t="shared" si="1"/>
        <v>2500</v>
      </c>
      <c r="AD12" s="552">
        <f>AC12+AC13+AC14+AC15</f>
        <v>6533</v>
      </c>
      <c r="AF12" s="348" t="s">
        <v>385</v>
      </c>
      <c r="AG12" s="348">
        <f aca="true" t="shared" si="5" ref="AG12:AM12">SUM(AG10:AG11)</f>
        <v>4000</v>
      </c>
      <c r="AH12" s="348">
        <f t="shared" si="5"/>
        <v>50159</v>
      </c>
      <c r="AI12" s="348">
        <f t="shared" si="5"/>
        <v>8900</v>
      </c>
      <c r="AJ12" s="348">
        <f t="shared" si="5"/>
        <v>29000</v>
      </c>
      <c r="AK12" s="348">
        <f t="shared" si="5"/>
        <v>1128</v>
      </c>
      <c r="AL12" s="348">
        <f t="shared" si="5"/>
        <v>121208</v>
      </c>
      <c r="AM12" s="348">
        <f t="shared" si="5"/>
        <v>47700</v>
      </c>
      <c r="AN12" s="348">
        <f t="shared" si="3"/>
        <v>262095</v>
      </c>
    </row>
    <row r="13" spans="1:40" ht="19.5" customHeight="1" thickBot="1">
      <c r="A13" s="536"/>
      <c r="B13" s="538"/>
      <c r="C13" s="532"/>
      <c r="D13" s="349" t="s">
        <v>392</v>
      </c>
      <c r="E13" s="350">
        <f t="shared" si="0"/>
        <v>1500</v>
      </c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>
        <v>1500</v>
      </c>
      <c r="W13" s="350"/>
      <c r="X13" s="350"/>
      <c r="Y13" s="350"/>
      <c r="Z13" s="350"/>
      <c r="AA13" s="350"/>
      <c r="AB13" s="350"/>
      <c r="AC13" s="351">
        <f t="shared" si="1"/>
        <v>1500</v>
      </c>
      <c r="AD13" s="553"/>
      <c r="AF13" s="331">
        <v>6050</v>
      </c>
      <c r="AG13" s="331"/>
      <c r="AH13" s="331">
        <f>3500+17231</f>
        <v>20731</v>
      </c>
      <c r="AI13" s="331">
        <v>3700</v>
      </c>
      <c r="AJ13" s="331">
        <f>5500+8500</f>
        <v>14000</v>
      </c>
      <c r="AK13" s="331"/>
      <c r="AL13" s="331">
        <f>4000+6199+5400+6075+18200+7240+5095-200-75</f>
        <v>51934</v>
      </c>
      <c r="AM13" s="331">
        <f>4000+7000+4200+5000-7000</f>
        <v>13200</v>
      </c>
      <c r="AN13" s="331">
        <f t="shared" si="3"/>
        <v>103565</v>
      </c>
    </row>
    <row r="14" spans="1:40" ht="18.75" customHeight="1" thickBot="1">
      <c r="A14" s="536"/>
      <c r="B14" s="538"/>
      <c r="C14" s="532"/>
      <c r="D14" s="353" t="s">
        <v>393</v>
      </c>
      <c r="E14" s="350">
        <f t="shared" si="0"/>
        <v>533</v>
      </c>
      <c r="F14" s="350"/>
      <c r="G14" s="350"/>
      <c r="H14" s="350">
        <v>533</v>
      </c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1">
        <f t="shared" si="1"/>
        <v>533</v>
      </c>
      <c r="AD14" s="553"/>
      <c r="AF14" s="331">
        <v>6050</v>
      </c>
      <c r="AG14" s="331"/>
      <c r="AH14" s="331">
        <f>3500+17231</f>
        <v>20731</v>
      </c>
      <c r="AI14" s="331">
        <v>3700</v>
      </c>
      <c r="AJ14" s="331">
        <f>5500+8500</f>
        <v>14000</v>
      </c>
      <c r="AK14" s="331"/>
      <c r="AL14" s="331">
        <f>4000+6199+5400+6075+18200+7240+5095-200-75</f>
        <v>51934</v>
      </c>
      <c r="AM14" s="331">
        <f>4000+7000+4200+5000-7000</f>
        <v>13200</v>
      </c>
      <c r="AN14" s="331">
        <f t="shared" si="3"/>
        <v>103565</v>
      </c>
    </row>
    <row r="15" spans="1:40" ht="22.5" customHeight="1" thickBot="1">
      <c r="A15" s="536"/>
      <c r="B15" s="538"/>
      <c r="C15" s="532"/>
      <c r="D15" s="344" t="s">
        <v>394</v>
      </c>
      <c r="E15" s="345">
        <f t="shared" si="0"/>
        <v>2000</v>
      </c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>
        <v>2000</v>
      </c>
      <c r="U15" s="345"/>
      <c r="V15" s="345"/>
      <c r="W15" s="345"/>
      <c r="X15" s="345"/>
      <c r="Y15" s="345"/>
      <c r="Z15" s="345"/>
      <c r="AA15" s="345"/>
      <c r="AB15" s="345"/>
      <c r="AC15" s="352">
        <f t="shared" si="1"/>
        <v>2000</v>
      </c>
      <c r="AD15" s="553"/>
      <c r="AF15" s="348" t="s">
        <v>389</v>
      </c>
      <c r="AG15" s="348">
        <f aca="true" t="shared" si="6" ref="AG15:AM15">SUM(AG12:AG13)</f>
        <v>4000</v>
      </c>
      <c r="AH15" s="348">
        <f t="shared" si="6"/>
        <v>70890</v>
      </c>
      <c r="AI15" s="348">
        <f t="shared" si="6"/>
        <v>12600</v>
      </c>
      <c r="AJ15" s="348">
        <f t="shared" si="6"/>
        <v>43000</v>
      </c>
      <c r="AK15" s="348">
        <f t="shared" si="6"/>
        <v>1128</v>
      </c>
      <c r="AL15" s="348">
        <f t="shared" si="6"/>
        <v>173142</v>
      </c>
      <c r="AM15" s="348">
        <f t="shared" si="6"/>
        <v>60900</v>
      </c>
      <c r="AN15" s="348">
        <f t="shared" si="3"/>
        <v>365660</v>
      </c>
    </row>
    <row r="16" spans="1:40" ht="18" customHeight="1" thickBot="1">
      <c r="A16" s="536">
        <v>5</v>
      </c>
      <c r="B16" s="538" t="s">
        <v>395</v>
      </c>
      <c r="C16" s="532">
        <v>17525</v>
      </c>
      <c r="D16" s="347" t="s">
        <v>396</v>
      </c>
      <c r="E16" s="343">
        <f t="shared" si="0"/>
        <v>600</v>
      </c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>
        <v>600</v>
      </c>
      <c r="W16" s="343"/>
      <c r="X16" s="343"/>
      <c r="Y16" s="343"/>
      <c r="Z16" s="343"/>
      <c r="AA16" s="343"/>
      <c r="AB16" s="343"/>
      <c r="AC16" s="338">
        <f t="shared" si="1"/>
        <v>600</v>
      </c>
      <c r="AD16" s="554">
        <f>AC16+AC17+AC18+AC19+AC20</f>
        <v>17525</v>
      </c>
      <c r="AN16" s="323" t="e">
        <f>#REF!-AN11</f>
        <v>#REF!</v>
      </c>
    </row>
    <row r="17" spans="1:30" ht="18" customHeight="1" thickBot="1">
      <c r="A17" s="536"/>
      <c r="B17" s="538"/>
      <c r="C17" s="532"/>
      <c r="D17" s="349" t="s">
        <v>397</v>
      </c>
      <c r="E17" s="350">
        <f t="shared" si="0"/>
        <v>600</v>
      </c>
      <c r="F17" s="354"/>
      <c r="G17" s="350"/>
      <c r="H17" s="350"/>
      <c r="I17" s="350"/>
      <c r="J17" s="350"/>
      <c r="K17" s="350"/>
      <c r="L17" s="350"/>
      <c r="M17" s="350"/>
      <c r="N17" s="350"/>
      <c r="O17" s="350">
        <v>600</v>
      </c>
      <c r="P17" s="350"/>
      <c r="Q17" s="350"/>
      <c r="R17" s="350"/>
      <c r="S17" s="350"/>
      <c r="T17" s="350"/>
      <c r="U17" s="350"/>
      <c r="V17" s="350"/>
      <c r="W17" s="350"/>
      <c r="X17" s="354"/>
      <c r="Y17" s="350"/>
      <c r="Z17" s="350"/>
      <c r="AA17" s="350"/>
      <c r="AB17" s="350"/>
      <c r="AC17" s="355">
        <f t="shared" si="1"/>
        <v>600</v>
      </c>
      <c r="AD17" s="555"/>
    </row>
    <row r="18" spans="1:30" ht="27" customHeight="1" thickBot="1">
      <c r="A18" s="536"/>
      <c r="B18" s="538"/>
      <c r="C18" s="532"/>
      <c r="D18" s="349" t="s">
        <v>398</v>
      </c>
      <c r="E18" s="350">
        <f t="shared" si="0"/>
        <v>2000</v>
      </c>
      <c r="F18" s="356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>
        <v>2000</v>
      </c>
      <c r="X18" s="356"/>
      <c r="Y18" s="350"/>
      <c r="Z18" s="350"/>
      <c r="AA18" s="350"/>
      <c r="AB18" s="350"/>
      <c r="AC18" s="355">
        <f t="shared" si="1"/>
        <v>2000</v>
      </c>
      <c r="AD18" s="555"/>
    </row>
    <row r="19" spans="1:30" ht="20.25" customHeight="1" thickBot="1">
      <c r="A19" s="536"/>
      <c r="B19" s="538"/>
      <c r="C19" s="532"/>
      <c r="D19" s="357" t="s">
        <v>399</v>
      </c>
      <c r="E19" s="350">
        <f t="shared" si="0"/>
        <v>500</v>
      </c>
      <c r="F19" s="354"/>
      <c r="G19" s="358"/>
      <c r="H19" s="358"/>
      <c r="I19" s="358"/>
      <c r="J19" s="358"/>
      <c r="K19" s="358"/>
      <c r="L19" s="358"/>
      <c r="M19" s="358">
        <v>500</v>
      </c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4"/>
      <c r="Y19" s="358"/>
      <c r="Z19" s="358"/>
      <c r="AA19" s="358"/>
      <c r="AB19" s="358"/>
      <c r="AC19" s="355">
        <f t="shared" si="1"/>
        <v>500</v>
      </c>
      <c r="AD19" s="555"/>
    </row>
    <row r="20" spans="1:30" ht="20.25" customHeight="1" thickBot="1">
      <c r="A20" s="536"/>
      <c r="B20" s="538"/>
      <c r="C20" s="532"/>
      <c r="D20" s="359" t="s">
        <v>400</v>
      </c>
      <c r="E20" s="345">
        <f t="shared" si="0"/>
        <v>13825</v>
      </c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>
        <v>13825</v>
      </c>
      <c r="U20" s="345"/>
      <c r="V20" s="345"/>
      <c r="W20" s="345"/>
      <c r="X20" s="345"/>
      <c r="Y20" s="345"/>
      <c r="Z20" s="345"/>
      <c r="AA20" s="345"/>
      <c r="AB20" s="345"/>
      <c r="AC20" s="360">
        <f t="shared" si="1"/>
        <v>13825</v>
      </c>
      <c r="AD20" s="556"/>
    </row>
    <row r="21" spans="1:30" ht="23.25" customHeight="1" thickBot="1">
      <c r="A21" s="536">
        <v>6</v>
      </c>
      <c r="B21" s="538" t="s">
        <v>401</v>
      </c>
      <c r="C21" s="532">
        <v>11601</v>
      </c>
      <c r="D21" s="347" t="s">
        <v>402</v>
      </c>
      <c r="E21" s="343">
        <f t="shared" si="0"/>
        <v>601</v>
      </c>
      <c r="F21" s="343"/>
      <c r="G21" s="343"/>
      <c r="H21" s="343"/>
      <c r="I21" s="343"/>
      <c r="J21" s="343">
        <v>601</v>
      </c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38">
        <f t="shared" si="1"/>
        <v>601</v>
      </c>
      <c r="AD21" s="554">
        <f>AC21+AC22+AC23</f>
        <v>11601</v>
      </c>
    </row>
    <row r="22" spans="1:30" ht="27" customHeight="1" thickBot="1">
      <c r="A22" s="536"/>
      <c r="B22" s="538"/>
      <c r="C22" s="532"/>
      <c r="D22" s="349" t="s">
        <v>403</v>
      </c>
      <c r="E22" s="350">
        <f t="shared" si="0"/>
        <v>4000</v>
      </c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>
        <v>1500</v>
      </c>
      <c r="W22" s="350">
        <v>2500</v>
      </c>
      <c r="X22" s="350"/>
      <c r="Y22" s="350"/>
      <c r="Z22" s="350"/>
      <c r="AA22" s="350"/>
      <c r="AB22" s="350"/>
      <c r="AC22" s="355">
        <f t="shared" si="1"/>
        <v>4000</v>
      </c>
      <c r="AD22" s="555"/>
    </row>
    <row r="23" spans="1:30" ht="23.25" customHeight="1" thickBot="1">
      <c r="A23" s="549"/>
      <c r="B23" s="550"/>
      <c r="C23" s="551"/>
      <c r="D23" s="361" t="s">
        <v>404</v>
      </c>
      <c r="E23" s="362">
        <f t="shared" si="0"/>
        <v>7000</v>
      </c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>
        <v>7000</v>
      </c>
      <c r="U23" s="362"/>
      <c r="V23" s="362"/>
      <c r="W23" s="362"/>
      <c r="X23" s="362"/>
      <c r="Y23" s="362"/>
      <c r="Z23" s="362"/>
      <c r="AA23" s="362"/>
      <c r="AB23" s="362"/>
      <c r="AC23" s="352">
        <f t="shared" si="1"/>
        <v>7000</v>
      </c>
      <c r="AD23" s="556"/>
    </row>
    <row r="24" spans="1:30" ht="27.75" customHeight="1" thickBot="1">
      <c r="A24" s="363">
        <v>7</v>
      </c>
      <c r="B24" s="364" t="s">
        <v>405</v>
      </c>
      <c r="C24" s="365">
        <v>7704</v>
      </c>
      <c r="D24" s="366" t="s">
        <v>406</v>
      </c>
      <c r="E24" s="365">
        <f t="shared" si="0"/>
        <v>5000</v>
      </c>
      <c r="F24" s="365">
        <v>5000</v>
      </c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7">
        <f t="shared" si="1"/>
        <v>5000</v>
      </c>
      <c r="AD24" s="368">
        <f>AC24</f>
        <v>5000</v>
      </c>
    </row>
    <row r="25" spans="1:30" ht="26.25" customHeight="1" thickBot="1">
      <c r="A25" s="363">
        <v>8</v>
      </c>
      <c r="B25" s="364" t="s">
        <v>407</v>
      </c>
      <c r="C25" s="365">
        <v>10520</v>
      </c>
      <c r="D25" s="366" t="s">
        <v>381</v>
      </c>
      <c r="E25" s="365">
        <f t="shared" si="0"/>
        <v>9000</v>
      </c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>
        <v>9000</v>
      </c>
      <c r="Y25" s="365"/>
      <c r="Z25" s="365"/>
      <c r="AA25" s="365"/>
      <c r="AB25" s="365"/>
      <c r="AC25" s="367">
        <f t="shared" si="1"/>
        <v>9000</v>
      </c>
      <c r="AD25" s="368">
        <f>AC25</f>
        <v>9000</v>
      </c>
    </row>
    <row r="26" spans="1:30" ht="26.25" customHeight="1" thickBot="1">
      <c r="A26" s="541">
        <v>9</v>
      </c>
      <c r="B26" s="543" t="s">
        <v>408</v>
      </c>
      <c r="C26" s="545">
        <v>22526</v>
      </c>
      <c r="D26" s="349" t="s">
        <v>409</v>
      </c>
      <c r="E26" s="358">
        <f t="shared" si="0"/>
        <v>6500</v>
      </c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>
        <v>6500</v>
      </c>
      <c r="W26" s="358"/>
      <c r="X26" s="358"/>
      <c r="Y26" s="358"/>
      <c r="Z26" s="358"/>
      <c r="AA26" s="358"/>
      <c r="AB26" s="358"/>
      <c r="AC26" s="351">
        <f t="shared" si="1"/>
        <v>6500</v>
      </c>
      <c r="AD26" s="554">
        <f>AC26+AC27+AC28+AC29+AC30</f>
        <v>22526</v>
      </c>
    </row>
    <row r="27" spans="1:30" ht="19.5" customHeight="1" thickBot="1">
      <c r="A27" s="541"/>
      <c r="B27" s="543"/>
      <c r="C27" s="545"/>
      <c r="D27" s="349" t="s">
        <v>410</v>
      </c>
      <c r="E27" s="350">
        <f t="shared" si="0"/>
        <v>1000</v>
      </c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>
        <v>1000</v>
      </c>
      <c r="Z27" s="350"/>
      <c r="AA27" s="350"/>
      <c r="AB27" s="350"/>
      <c r="AC27" s="351">
        <f t="shared" si="1"/>
        <v>1000</v>
      </c>
      <c r="AD27" s="555"/>
    </row>
    <row r="28" spans="1:30" ht="19.5" customHeight="1" thickBot="1">
      <c r="A28" s="541"/>
      <c r="B28" s="543"/>
      <c r="C28" s="545"/>
      <c r="D28" s="349" t="s">
        <v>411</v>
      </c>
      <c r="E28" s="350">
        <f t="shared" si="0"/>
        <v>1000</v>
      </c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>
        <v>1000</v>
      </c>
      <c r="T28" s="350"/>
      <c r="U28" s="350"/>
      <c r="V28" s="350"/>
      <c r="W28" s="350"/>
      <c r="X28" s="350"/>
      <c r="Y28" s="350"/>
      <c r="Z28" s="350"/>
      <c r="AA28" s="350"/>
      <c r="AB28" s="350"/>
      <c r="AC28" s="355">
        <f t="shared" si="1"/>
        <v>1000</v>
      </c>
      <c r="AD28" s="555"/>
    </row>
    <row r="29" spans="1:30" ht="19.5" customHeight="1" thickBot="1">
      <c r="A29" s="541"/>
      <c r="B29" s="543"/>
      <c r="C29" s="545"/>
      <c r="D29" s="349" t="s">
        <v>412</v>
      </c>
      <c r="E29" s="350">
        <f t="shared" si="0"/>
        <v>2500</v>
      </c>
      <c r="F29" s="350"/>
      <c r="G29" s="350"/>
      <c r="H29" s="350"/>
      <c r="I29" s="350"/>
      <c r="J29" s="350"/>
      <c r="K29" s="350">
        <v>2500</v>
      </c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5">
        <f t="shared" si="1"/>
        <v>2500</v>
      </c>
      <c r="AD29" s="555"/>
    </row>
    <row r="30" spans="1:30" ht="19.5" customHeight="1" thickBot="1">
      <c r="A30" s="542"/>
      <c r="B30" s="544"/>
      <c r="C30" s="546"/>
      <c r="D30" s="359" t="s">
        <v>413</v>
      </c>
      <c r="E30" s="369">
        <f t="shared" si="0"/>
        <v>11526</v>
      </c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>
        <v>11526</v>
      </c>
      <c r="T30" s="345"/>
      <c r="U30" s="345"/>
      <c r="V30" s="345"/>
      <c r="W30" s="345"/>
      <c r="X30" s="345"/>
      <c r="Y30" s="345"/>
      <c r="Z30" s="345"/>
      <c r="AA30" s="345"/>
      <c r="AB30" s="345"/>
      <c r="AC30" s="346">
        <f t="shared" si="1"/>
        <v>11526</v>
      </c>
      <c r="AD30" s="556"/>
    </row>
    <row r="31" spans="1:40" ht="21.75" customHeight="1" thickBot="1">
      <c r="A31" s="536">
        <v>10</v>
      </c>
      <c r="B31" s="538" t="s">
        <v>414</v>
      </c>
      <c r="C31" s="532">
        <v>7839</v>
      </c>
      <c r="D31" s="370" t="s">
        <v>415</v>
      </c>
      <c r="E31" s="343">
        <f t="shared" si="0"/>
        <v>5539</v>
      </c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>
        <v>5539</v>
      </c>
      <c r="T31" s="343"/>
      <c r="U31" s="343"/>
      <c r="V31" s="343"/>
      <c r="W31" s="343"/>
      <c r="X31" s="343"/>
      <c r="Y31" s="343"/>
      <c r="Z31" s="343"/>
      <c r="AA31" s="343"/>
      <c r="AB31" s="343"/>
      <c r="AC31" s="338">
        <f t="shared" si="1"/>
        <v>5539</v>
      </c>
      <c r="AD31" s="552">
        <f>AC31+AC32+AC33</f>
        <v>7839</v>
      </c>
      <c r="AF31" s="348" t="s">
        <v>385</v>
      </c>
      <c r="AG31" s="348">
        <f aca="true" t="shared" si="7" ref="AG31:AM31">SUM(AG29:AG30)</f>
        <v>0</v>
      </c>
      <c r="AH31" s="348">
        <f t="shared" si="7"/>
        <v>0</v>
      </c>
      <c r="AI31" s="348">
        <f t="shared" si="7"/>
        <v>0</v>
      </c>
      <c r="AJ31" s="348">
        <f t="shared" si="7"/>
        <v>0</v>
      </c>
      <c r="AK31" s="348">
        <f t="shared" si="7"/>
        <v>0</v>
      </c>
      <c r="AL31" s="348">
        <f t="shared" si="7"/>
        <v>0</v>
      </c>
      <c r="AM31" s="348">
        <f t="shared" si="7"/>
        <v>0</v>
      </c>
      <c r="AN31" s="348">
        <f>SUM(AG31:AM31)</f>
        <v>0</v>
      </c>
    </row>
    <row r="32" spans="1:40" ht="25.5" customHeight="1" thickBot="1">
      <c r="A32" s="536"/>
      <c r="B32" s="538"/>
      <c r="C32" s="532"/>
      <c r="D32" s="353" t="s">
        <v>416</v>
      </c>
      <c r="E32" s="350">
        <f t="shared" si="0"/>
        <v>1300</v>
      </c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>
        <v>1300</v>
      </c>
      <c r="X32" s="350"/>
      <c r="Y32" s="350"/>
      <c r="Z32" s="350"/>
      <c r="AA32" s="350"/>
      <c r="AB32" s="350"/>
      <c r="AC32" s="351">
        <f t="shared" si="1"/>
        <v>1300</v>
      </c>
      <c r="AD32" s="553"/>
      <c r="AF32" s="331">
        <v>6050</v>
      </c>
      <c r="AG32" s="331"/>
      <c r="AH32" s="331">
        <f>3500+17231</f>
        <v>20731</v>
      </c>
      <c r="AI32" s="331">
        <v>3700</v>
      </c>
      <c r="AJ32" s="331">
        <f>5500+8500</f>
        <v>14000</v>
      </c>
      <c r="AK32" s="331"/>
      <c r="AL32" s="331">
        <f>4000+6199+5400+6075+18200+7240+5095-200-75</f>
        <v>51934</v>
      </c>
      <c r="AM32" s="331">
        <f>4000+7000+4200+5000-7000</f>
        <v>13200</v>
      </c>
      <c r="AN32" s="331">
        <f>SUM(AG32:AM32)</f>
        <v>103565</v>
      </c>
    </row>
    <row r="33" spans="1:40" ht="33" customHeight="1" thickBot="1">
      <c r="A33" s="536"/>
      <c r="B33" s="538"/>
      <c r="C33" s="532"/>
      <c r="D33" s="344" t="s">
        <v>417</v>
      </c>
      <c r="E33" s="345">
        <f t="shared" si="0"/>
        <v>1000</v>
      </c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>
        <v>1000</v>
      </c>
      <c r="W33" s="345"/>
      <c r="X33" s="345"/>
      <c r="Y33" s="345"/>
      <c r="Z33" s="345"/>
      <c r="AA33" s="345"/>
      <c r="AB33" s="345"/>
      <c r="AC33" s="352">
        <f t="shared" si="1"/>
        <v>1000</v>
      </c>
      <c r="AD33" s="553"/>
      <c r="AF33" s="348" t="s">
        <v>389</v>
      </c>
      <c r="AG33" s="348">
        <f aca="true" t="shared" si="8" ref="AG33:AM33">SUM(AG31:AG32)</f>
        <v>0</v>
      </c>
      <c r="AH33" s="348">
        <f t="shared" si="8"/>
        <v>20731</v>
      </c>
      <c r="AI33" s="348">
        <f t="shared" si="8"/>
        <v>3700</v>
      </c>
      <c r="AJ33" s="348">
        <f t="shared" si="8"/>
        <v>14000</v>
      </c>
      <c r="AK33" s="348">
        <f t="shared" si="8"/>
        <v>0</v>
      </c>
      <c r="AL33" s="348">
        <f t="shared" si="8"/>
        <v>51934</v>
      </c>
      <c r="AM33" s="348">
        <f t="shared" si="8"/>
        <v>13200</v>
      </c>
      <c r="AN33" s="348">
        <f>SUM(AG33:AM33)</f>
        <v>103565</v>
      </c>
    </row>
    <row r="34" spans="1:30" ht="28.5" customHeight="1" thickBot="1">
      <c r="A34" s="536">
        <v>11</v>
      </c>
      <c r="B34" s="537" t="s">
        <v>418</v>
      </c>
      <c r="C34" s="532">
        <v>22526</v>
      </c>
      <c r="D34" s="349" t="s">
        <v>419</v>
      </c>
      <c r="E34" s="343">
        <f t="shared" si="0"/>
        <v>5000</v>
      </c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>
        <v>5000</v>
      </c>
      <c r="T34" s="343"/>
      <c r="U34" s="343"/>
      <c r="V34" s="343"/>
      <c r="W34" s="343"/>
      <c r="X34" s="343"/>
      <c r="Y34" s="343"/>
      <c r="Z34" s="343"/>
      <c r="AA34" s="343"/>
      <c r="AB34" s="343"/>
      <c r="AC34" s="338">
        <f t="shared" si="1"/>
        <v>5000</v>
      </c>
      <c r="AD34" s="554">
        <f>AC34+AC35+AC36+AC37+AC38+AC39+AC40</f>
        <v>22526</v>
      </c>
    </row>
    <row r="35" spans="1:30" ht="19.5" customHeight="1" thickBot="1">
      <c r="A35" s="536"/>
      <c r="B35" s="537"/>
      <c r="C35" s="532"/>
      <c r="D35" s="371" t="s">
        <v>420</v>
      </c>
      <c r="E35" s="358">
        <f>AC35+200</f>
        <v>5000</v>
      </c>
      <c r="F35" s="358"/>
      <c r="G35" s="358"/>
      <c r="H35" s="358"/>
      <c r="I35" s="358"/>
      <c r="J35" s="358"/>
      <c r="K35" s="358"/>
      <c r="L35" s="358">
        <v>4800</v>
      </c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5">
        <f>SUM(F35:AA35)</f>
        <v>4800</v>
      </c>
      <c r="AD35" s="555"/>
    </row>
    <row r="36" spans="1:30" ht="19.5" customHeight="1" thickBot="1">
      <c r="A36" s="536"/>
      <c r="B36" s="537"/>
      <c r="C36" s="532"/>
      <c r="D36" s="349" t="s">
        <v>421</v>
      </c>
      <c r="E36" s="350">
        <f t="shared" si="0"/>
        <v>1500</v>
      </c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>
        <v>1500</v>
      </c>
      <c r="W36" s="350"/>
      <c r="X36" s="350"/>
      <c r="Y36" s="350"/>
      <c r="Z36" s="350"/>
      <c r="AA36" s="350"/>
      <c r="AB36" s="350"/>
      <c r="AC36" s="355">
        <f>SUM(F36:AA36)</f>
        <v>1500</v>
      </c>
      <c r="AD36" s="555"/>
    </row>
    <row r="37" spans="1:30" ht="24.75" thickBot="1">
      <c r="A37" s="536"/>
      <c r="B37" s="537"/>
      <c r="C37" s="532"/>
      <c r="D37" s="349" t="s">
        <v>422</v>
      </c>
      <c r="E37" s="350">
        <f t="shared" si="0"/>
        <v>2000</v>
      </c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>
        <v>2000</v>
      </c>
      <c r="W37" s="350"/>
      <c r="X37" s="350"/>
      <c r="Y37" s="350"/>
      <c r="Z37" s="350"/>
      <c r="AA37" s="350"/>
      <c r="AB37" s="350"/>
      <c r="AC37" s="355">
        <f>SUM(F37:AA37)</f>
        <v>2000</v>
      </c>
      <c r="AD37" s="555"/>
    </row>
    <row r="38" spans="1:30" ht="21.75" customHeight="1" thickBot="1">
      <c r="A38" s="536"/>
      <c r="B38" s="537"/>
      <c r="C38" s="532"/>
      <c r="D38" s="349" t="s">
        <v>423</v>
      </c>
      <c r="E38" s="350">
        <f t="shared" si="0"/>
        <v>1500</v>
      </c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>
        <v>1500</v>
      </c>
      <c r="T38" s="350"/>
      <c r="U38" s="350"/>
      <c r="V38" s="350"/>
      <c r="W38" s="350"/>
      <c r="X38" s="350"/>
      <c r="Y38" s="350"/>
      <c r="Z38" s="350"/>
      <c r="AA38" s="350"/>
      <c r="AB38" s="350"/>
      <c r="AC38" s="355">
        <f>SUM(F38:AA38)</f>
        <v>1500</v>
      </c>
      <c r="AD38" s="555"/>
    </row>
    <row r="39" spans="1:30" ht="21.75" customHeight="1" thickBot="1">
      <c r="A39" s="536"/>
      <c r="B39" s="537"/>
      <c r="C39" s="532"/>
      <c r="D39" s="349" t="s">
        <v>424</v>
      </c>
      <c r="E39" s="350">
        <f t="shared" si="0"/>
        <v>526</v>
      </c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>
        <v>526</v>
      </c>
      <c r="AB39" s="350"/>
      <c r="AC39" s="355">
        <f>SUM(F39:AA39)</f>
        <v>526</v>
      </c>
      <c r="AD39" s="555"/>
    </row>
    <row r="40" spans="1:30" ht="26.25" customHeight="1" thickBot="1">
      <c r="A40" s="536"/>
      <c r="B40" s="537"/>
      <c r="C40" s="532"/>
      <c r="D40" s="359" t="s">
        <v>425</v>
      </c>
      <c r="E40" s="369">
        <f>AC40-200</f>
        <v>7000</v>
      </c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>
        <f>10000-2800</f>
        <v>7200</v>
      </c>
      <c r="U40" s="345"/>
      <c r="V40" s="345"/>
      <c r="W40" s="345"/>
      <c r="X40" s="345"/>
      <c r="Y40" s="345"/>
      <c r="Z40" s="345"/>
      <c r="AA40" s="345"/>
      <c r="AB40" s="345"/>
      <c r="AC40" s="346">
        <f>SUM(F40:Y40)</f>
        <v>7200</v>
      </c>
      <c r="AD40" s="556"/>
    </row>
    <row r="41" spans="1:30" ht="20.25" customHeight="1" thickBot="1">
      <c r="A41" s="536">
        <v>12</v>
      </c>
      <c r="B41" s="538" t="s">
        <v>426</v>
      </c>
      <c r="C41" s="532">
        <v>15656</v>
      </c>
      <c r="D41" s="349" t="s">
        <v>427</v>
      </c>
      <c r="E41" s="343">
        <f t="shared" si="0"/>
        <v>4000</v>
      </c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>
        <v>4000</v>
      </c>
      <c r="W41" s="343"/>
      <c r="X41" s="343"/>
      <c r="Y41" s="343"/>
      <c r="Z41" s="343"/>
      <c r="AA41" s="343"/>
      <c r="AB41" s="343"/>
      <c r="AC41" s="338">
        <f>SUM(F41:Y41)</f>
        <v>4000</v>
      </c>
      <c r="AD41" s="554">
        <f>SUM(AC41:AC45)</f>
        <v>15656</v>
      </c>
    </row>
    <row r="42" spans="1:30" ht="20.25" customHeight="1" thickBot="1">
      <c r="A42" s="536"/>
      <c r="B42" s="538"/>
      <c r="C42" s="532"/>
      <c r="D42" s="349" t="s">
        <v>392</v>
      </c>
      <c r="E42" s="350">
        <f t="shared" si="0"/>
        <v>5000</v>
      </c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>
        <v>5000</v>
      </c>
      <c r="Y42" s="350"/>
      <c r="Z42" s="350"/>
      <c r="AA42" s="350"/>
      <c r="AB42" s="350"/>
      <c r="AC42" s="355">
        <f>SUM(F42:Y42)</f>
        <v>5000</v>
      </c>
      <c r="AD42" s="557"/>
    </row>
    <row r="43" spans="1:30" ht="28.5" customHeight="1" thickBot="1">
      <c r="A43" s="536"/>
      <c r="B43" s="538"/>
      <c r="C43" s="532"/>
      <c r="D43" s="353" t="s">
        <v>428</v>
      </c>
      <c r="E43" s="350">
        <f t="shared" si="0"/>
        <v>1000</v>
      </c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>
        <v>1000</v>
      </c>
      <c r="X43" s="350"/>
      <c r="Y43" s="350"/>
      <c r="Z43" s="350"/>
      <c r="AA43" s="350"/>
      <c r="AB43" s="350"/>
      <c r="AC43" s="355">
        <f>SUM(F43:Y43)</f>
        <v>1000</v>
      </c>
      <c r="AD43" s="557"/>
    </row>
    <row r="44" spans="1:30" ht="28.5" customHeight="1" thickBot="1">
      <c r="A44" s="536"/>
      <c r="B44" s="538"/>
      <c r="C44" s="532"/>
      <c r="D44" s="349" t="s">
        <v>429</v>
      </c>
      <c r="E44" s="350">
        <f t="shared" si="0"/>
        <v>1656</v>
      </c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>
        <v>1656</v>
      </c>
      <c r="AC44" s="355">
        <f>SUM(F44:AB44)</f>
        <v>1656</v>
      </c>
      <c r="AD44" s="557"/>
    </row>
    <row r="45" spans="1:30" ht="18" customHeight="1" thickBot="1">
      <c r="A45" s="536"/>
      <c r="B45" s="538"/>
      <c r="C45" s="532"/>
      <c r="D45" s="344" t="s">
        <v>430</v>
      </c>
      <c r="E45" s="345">
        <f t="shared" si="0"/>
        <v>4000</v>
      </c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>
        <v>4000</v>
      </c>
      <c r="AA45" s="345"/>
      <c r="AB45" s="345"/>
      <c r="AC45" s="355">
        <f>SUM(F45:AB45)</f>
        <v>4000</v>
      </c>
      <c r="AD45" s="558"/>
    </row>
    <row r="46" spans="1:30" ht="20.25" customHeight="1" thickBot="1">
      <c r="A46" s="333">
        <v>13</v>
      </c>
      <c r="B46" s="340" t="s">
        <v>431</v>
      </c>
      <c r="C46" s="341">
        <v>5406</v>
      </c>
      <c r="D46" s="336" t="s">
        <v>432</v>
      </c>
      <c r="E46" s="341">
        <f t="shared" si="0"/>
        <v>5406</v>
      </c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>
        <v>5406</v>
      </c>
      <c r="T46" s="341"/>
      <c r="U46" s="341"/>
      <c r="V46" s="341"/>
      <c r="W46" s="341"/>
      <c r="X46" s="341"/>
      <c r="Y46" s="341"/>
      <c r="Z46" s="341"/>
      <c r="AA46" s="341"/>
      <c r="AB46" s="341"/>
      <c r="AC46" s="367">
        <f aca="true" t="shared" si="9" ref="AC46:AC52">SUM(F46:Y46)</f>
        <v>5406</v>
      </c>
      <c r="AD46" s="368">
        <f>AC46</f>
        <v>5406</v>
      </c>
    </row>
    <row r="47" spans="1:30" ht="30.75" customHeight="1" thickBot="1">
      <c r="A47" s="536">
        <v>14</v>
      </c>
      <c r="B47" s="538" t="s">
        <v>433</v>
      </c>
      <c r="C47" s="532">
        <v>19733</v>
      </c>
      <c r="D47" s="349" t="s">
        <v>403</v>
      </c>
      <c r="E47" s="343">
        <f t="shared" si="0"/>
        <v>4500</v>
      </c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>
        <v>1000</v>
      </c>
      <c r="W47" s="343">
        <v>3500</v>
      </c>
      <c r="X47" s="343"/>
      <c r="Y47" s="343"/>
      <c r="Z47" s="343"/>
      <c r="AA47" s="343"/>
      <c r="AB47" s="343"/>
      <c r="AC47" s="338">
        <f t="shared" si="9"/>
        <v>4500</v>
      </c>
      <c r="AD47" s="554">
        <f>SUM(AC47:AC52)</f>
        <v>19733</v>
      </c>
    </row>
    <row r="48" spans="1:30" ht="20.25" customHeight="1" thickBot="1">
      <c r="A48" s="536"/>
      <c r="B48" s="538"/>
      <c r="C48" s="532"/>
      <c r="D48" s="353" t="s">
        <v>397</v>
      </c>
      <c r="E48" s="350">
        <f t="shared" si="0"/>
        <v>2333</v>
      </c>
      <c r="F48" s="350"/>
      <c r="G48" s="350"/>
      <c r="H48" s="350"/>
      <c r="I48" s="350"/>
      <c r="J48" s="350"/>
      <c r="K48" s="350"/>
      <c r="L48" s="350"/>
      <c r="M48" s="350"/>
      <c r="N48" s="350">
        <v>2333</v>
      </c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5">
        <f t="shared" si="9"/>
        <v>2333</v>
      </c>
      <c r="AD48" s="555"/>
    </row>
    <row r="49" spans="1:30" ht="20.25" customHeight="1" thickBot="1">
      <c r="A49" s="536"/>
      <c r="B49" s="538"/>
      <c r="C49" s="532"/>
      <c r="D49" s="371" t="s">
        <v>396</v>
      </c>
      <c r="E49" s="350">
        <f t="shared" si="0"/>
        <v>900</v>
      </c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>
        <v>900</v>
      </c>
      <c r="W49" s="350"/>
      <c r="X49" s="350"/>
      <c r="Y49" s="350"/>
      <c r="Z49" s="350"/>
      <c r="AA49" s="350"/>
      <c r="AB49" s="350"/>
      <c r="AC49" s="355">
        <f t="shared" si="9"/>
        <v>900</v>
      </c>
      <c r="AD49" s="555"/>
    </row>
    <row r="50" spans="1:30" ht="20.25" customHeight="1" thickBot="1">
      <c r="A50" s="536"/>
      <c r="B50" s="538"/>
      <c r="C50" s="532"/>
      <c r="D50" s="349" t="s">
        <v>434</v>
      </c>
      <c r="E50" s="350">
        <f t="shared" si="0"/>
        <v>11000</v>
      </c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>
        <v>11000</v>
      </c>
      <c r="T50" s="350"/>
      <c r="U50" s="350"/>
      <c r="V50" s="350"/>
      <c r="W50" s="350"/>
      <c r="X50" s="350"/>
      <c r="Y50" s="350"/>
      <c r="Z50" s="350"/>
      <c r="AA50" s="350"/>
      <c r="AB50" s="350"/>
      <c r="AC50" s="355">
        <f t="shared" si="9"/>
        <v>11000</v>
      </c>
      <c r="AD50" s="555"/>
    </row>
    <row r="51" spans="1:30" ht="20.25" customHeight="1" thickBot="1">
      <c r="A51" s="536"/>
      <c r="B51" s="538"/>
      <c r="C51" s="532"/>
      <c r="D51" s="357" t="s">
        <v>399</v>
      </c>
      <c r="E51" s="350">
        <f t="shared" si="0"/>
        <v>500</v>
      </c>
      <c r="F51" s="350"/>
      <c r="G51" s="350"/>
      <c r="H51" s="350"/>
      <c r="I51" s="350"/>
      <c r="J51" s="350"/>
      <c r="K51" s="350"/>
      <c r="L51" s="350"/>
      <c r="M51" s="350">
        <v>500</v>
      </c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5">
        <f t="shared" si="9"/>
        <v>500</v>
      </c>
      <c r="AD51" s="555"/>
    </row>
    <row r="52" spans="1:30" ht="20.25" customHeight="1" thickBot="1">
      <c r="A52" s="536"/>
      <c r="B52" s="538"/>
      <c r="C52" s="532"/>
      <c r="D52" s="359" t="s">
        <v>435</v>
      </c>
      <c r="E52" s="372">
        <f t="shared" si="0"/>
        <v>500</v>
      </c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>
        <v>500</v>
      </c>
      <c r="V52" s="345"/>
      <c r="W52" s="345"/>
      <c r="X52" s="345"/>
      <c r="Y52" s="345"/>
      <c r="Z52" s="345"/>
      <c r="AA52" s="345"/>
      <c r="AB52" s="345"/>
      <c r="AC52" s="352">
        <f t="shared" si="9"/>
        <v>500</v>
      </c>
      <c r="AD52" s="556"/>
    </row>
    <row r="53" spans="1:30" ht="12.75" customHeight="1" thickBot="1">
      <c r="A53" s="528" t="s">
        <v>436</v>
      </c>
      <c r="B53" s="529"/>
      <c r="C53" s="532">
        <f>SUM(C5:C52)</f>
        <v>173435</v>
      </c>
      <c r="D53" s="534" t="s">
        <v>437</v>
      </c>
      <c r="E53" s="547">
        <f>E52+E51+E50+E49+E48+E47+E46+E45+E44+E43+E42+E41+E40+E39+E38+E37+E36+E35+E34+E33+E32+E31+E30+E29+E28+E27+E26+E25+E24+E23+E22+E21+E20+E19+E18+E17+E16+E15+E14+E13+E12+E11+E10+E9+E8+E7+E6+E5</f>
        <v>168662</v>
      </c>
      <c r="F53" s="539">
        <f aca="true" t="shared" si="10" ref="F53:AC53">SUM(F5:F52)</f>
        <v>5000</v>
      </c>
      <c r="G53" s="523">
        <f t="shared" si="10"/>
        <v>0</v>
      </c>
      <c r="H53" s="523">
        <f t="shared" si="10"/>
        <v>533</v>
      </c>
      <c r="I53" s="523">
        <f t="shared" si="10"/>
        <v>6157</v>
      </c>
      <c r="J53" s="523">
        <f t="shared" si="10"/>
        <v>601</v>
      </c>
      <c r="K53" s="523">
        <f t="shared" si="10"/>
        <v>2500</v>
      </c>
      <c r="L53" s="523">
        <f t="shared" si="10"/>
        <v>4800</v>
      </c>
      <c r="M53" s="523">
        <f t="shared" si="10"/>
        <v>1000</v>
      </c>
      <c r="N53" s="523">
        <f t="shared" si="10"/>
        <v>2333</v>
      </c>
      <c r="O53" s="523">
        <f t="shared" si="10"/>
        <v>2600</v>
      </c>
      <c r="P53" s="523">
        <f t="shared" si="10"/>
        <v>0</v>
      </c>
      <c r="Q53" s="523">
        <f t="shared" si="10"/>
        <v>0</v>
      </c>
      <c r="R53" s="523">
        <f t="shared" si="10"/>
        <v>2000</v>
      </c>
      <c r="S53" s="523">
        <f t="shared" si="10"/>
        <v>40971</v>
      </c>
      <c r="T53" s="523">
        <f t="shared" si="10"/>
        <v>30025</v>
      </c>
      <c r="U53" s="523">
        <f t="shared" si="10"/>
        <v>500</v>
      </c>
      <c r="V53" s="523">
        <f t="shared" si="10"/>
        <v>21160</v>
      </c>
      <c r="W53" s="523">
        <f t="shared" si="10"/>
        <v>14800</v>
      </c>
      <c r="X53" s="523">
        <f t="shared" si="10"/>
        <v>26500</v>
      </c>
      <c r="Y53" s="523">
        <f t="shared" si="10"/>
        <v>1000</v>
      </c>
      <c r="Z53" s="523">
        <f t="shared" si="10"/>
        <v>4000</v>
      </c>
      <c r="AA53" s="523">
        <f t="shared" si="10"/>
        <v>526</v>
      </c>
      <c r="AB53" s="523">
        <f t="shared" si="10"/>
        <v>1656</v>
      </c>
      <c r="AC53" s="525">
        <f t="shared" si="10"/>
        <v>168662</v>
      </c>
      <c r="AD53" s="554">
        <f>AD47+AD46+AD41+AD34+AD31+AD26+AD25+AD24+AD21+AD16+AD12+AD8+AD6+AD5</f>
        <v>168662</v>
      </c>
    </row>
    <row r="54" spans="1:30" ht="22.5" customHeight="1" thickBot="1">
      <c r="A54" s="530"/>
      <c r="B54" s="531"/>
      <c r="C54" s="533"/>
      <c r="D54" s="535"/>
      <c r="E54" s="548"/>
      <c r="F54" s="540"/>
      <c r="G54" s="524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  <c r="U54" s="524"/>
      <c r="V54" s="524"/>
      <c r="W54" s="524"/>
      <c r="X54" s="524"/>
      <c r="Y54" s="524"/>
      <c r="Z54" s="524"/>
      <c r="AA54" s="524"/>
      <c r="AB54" s="524"/>
      <c r="AC54" s="526"/>
      <c r="AD54" s="548"/>
    </row>
    <row r="55" spans="1:2" ht="12.75">
      <c r="A55" s="373"/>
      <c r="B55" s="373"/>
    </row>
    <row r="56" spans="1:29" ht="12.75" customHeight="1">
      <c r="A56" s="527" t="s">
        <v>438</v>
      </c>
      <c r="B56" s="527"/>
      <c r="C56" s="527"/>
      <c r="D56" s="527"/>
      <c r="E56" s="527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5"/>
    </row>
    <row r="57" spans="1:29" ht="16.5" customHeight="1">
      <c r="A57" s="527"/>
      <c r="B57" s="527"/>
      <c r="C57" s="527"/>
      <c r="D57" s="527"/>
      <c r="E57" s="527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5"/>
    </row>
    <row r="58" ht="13.5" thickBot="1"/>
    <row r="59" spans="1:29" s="378" customFormat="1" ht="18.75" customHeight="1" thickBot="1">
      <c r="A59" s="376" t="s">
        <v>94</v>
      </c>
      <c r="B59" s="376" t="s">
        <v>0</v>
      </c>
      <c r="C59" s="376" t="s">
        <v>1</v>
      </c>
      <c r="D59" s="376" t="s">
        <v>439</v>
      </c>
      <c r="E59" s="376" t="s">
        <v>440</v>
      </c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</row>
    <row r="60" spans="1:29" s="378" customFormat="1" ht="18.75" customHeight="1">
      <c r="A60" s="379">
        <v>1</v>
      </c>
      <c r="B60" s="380" t="s">
        <v>277</v>
      </c>
      <c r="C60" s="380" t="s">
        <v>441</v>
      </c>
      <c r="D60" s="358"/>
      <c r="E60" s="358">
        <f>F53</f>
        <v>5000</v>
      </c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</row>
    <row r="61" spans="1:29" s="378" customFormat="1" ht="18.75" customHeight="1">
      <c r="A61" s="382">
        <v>2</v>
      </c>
      <c r="B61" s="383" t="s">
        <v>442</v>
      </c>
      <c r="C61" s="382">
        <v>60016</v>
      </c>
      <c r="D61" s="350">
        <f>I53</f>
        <v>6157</v>
      </c>
      <c r="E61" s="358">
        <f>H53</f>
        <v>533</v>
      </c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</row>
    <row r="62" spans="1:29" s="378" customFormat="1" ht="18.75" customHeight="1">
      <c r="A62" s="382">
        <v>3</v>
      </c>
      <c r="B62" s="383" t="s">
        <v>443</v>
      </c>
      <c r="C62" s="382">
        <v>75095</v>
      </c>
      <c r="D62" s="350"/>
      <c r="E62" s="358">
        <f>J53</f>
        <v>601</v>
      </c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</row>
    <row r="63" spans="1:29" s="378" customFormat="1" ht="18.75" customHeight="1">
      <c r="A63" s="382">
        <v>4</v>
      </c>
      <c r="B63" s="383" t="s">
        <v>444</v>
      </c>
      <c r="C63" s="382">
        <v>75412</v>
      </c>
      <c r="D63" s="350">
        <f>L53+200</f>
        <v>5000</v>
      </c>
      <c r="E63" s="358">
        <f>K53</f>
        <v>2500</v>
      </c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</row>
    <row r="64" spans="1:29" s="378" customFormat="1" ht="18.75" customHeight="1">
      <c r="A64" s="382">
        <v>5</v>
      </c>
      <c r="B64" s="383" t="s">
        <v>445</v>
      </c>
      <c r="C64" s="382">
        <v>80113</v>
      </c>
      <c r="D64" s="350"/>
      <c r="E64" s="358">
        <f>M53</f>
        <v>1000</v>
      </c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</row>
    <row r="65" spans="1:29" s="378" customFormat="1" ht="18.75" customHeight="1">
      <c r="A65" s="382">
        <v>6</v>
      </c>
      <c r="B65" s="383" t="s">
        <v>311</v>
      </c>
      <c r="C65" s="382">
        <v>90004</v>
      </c>
      <c r="D65" s="350"/>
      <c r="E65" s="358">
        <f>N53+O53</f>
        <v>4933</v>
      </c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</row>
    <row r="66" spans="1:29" s="378" customFormat="1" ht="18.75" customHeight="1">
      <c r="A66" s="382">
        <v>7</v>
      </c>
      <c r="B66" s="384"/>
      <c r="C66" s="382">
        <v>90015</v>
      </c>
      <c r="D66" s="350"/>
      <c r="E66" s="358">
        <f>R53</f>
        <v>2000</v>
      </c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</row>
    <row r="67" spans="1:29" s="378" customFormat="1" ht="18.75" customHeight="1">
      <c r="A67" s="382">
        <v>8</v>
      </c>
      <c r="B67" s="383" t="s">
        <v>446</v>
      </c>
      <c r="C67" s="382">
        <v>92109</v>
      </c>
      <c r="D67" s="350">
        <f>T53-200</f>
        <v>29825</v>
      </c>
      <c r="E67" s="358">
        <f>S53</f>
        <v>40971</v>
      </c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</row>
    <row r="68" spans="1:29" s="378" customFormat="1" ht="18.75" customHeight="1">
      <c r="A68" s="382">
        <v>9</v>
      </c>
      <c r="B68" s="383"/>
      <c r="C68" s="382">
        <v>92116</v>
      </c>
      <c r="D68" s="350"/>
      <c r="E68" s="358">
        <f>U53</f>
        <v>500</v>
      </c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  <c r="AB68" s="381"/>
      <c r="AC68" s="381"/>
    </row>
    <row r="69" spans="1:29" s="378" customFormat="1" ht="18.75" customHeight="1">
      <c r="A69" s="382">
        <v>10</v>
      </c>
      <c r="B69" s="384"/>
      <c r="C69" s="382">
        <v>92195</v>
      </c>
      <c r="D69" s="350">
        <f>X53</f>
        <v>26500</v>
      </c>
      <c r="E69" s="358">
        <f>V53+W53</f>
        <v>35960</v>
      </c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Q69" s="381"/>
      <c r="R69" s="381"/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381"/>
    </row>
    <row r="70" spans="1:29" s="378" customFormat="1" ht="18.75" customHeight="1">
      <c r="A70" s="382">
        <v>11</v>
      </c>
      <c r="B70" s="383" t="s">
        <v>313</v>
      </c>
      <c r="C70" s="382">
        <v>92601</v>
      </c>
      <c r="D70" s="350">
        <f>Z53</f>
        <v>4000</v>
      </c>
      <c r="E70" s="358">
        <f>Y53</f>
        <v>1000</v>
      </c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</row>
    <row r="71" spans="1:29" s="378" customFormat="1" ht="18.75" customHeight="1" thickBot="1">
      <c r="A71" s="382">
        <v>12</v>
      </c>
      <c r="B71" s="385"/>
      <c r="C71" s="386">
        <v>92605</v>
      </c>
      <c r="D71" s="372"/>
      <c r="E71" s="362">
        <f>AA53+AB53</f>
        <v>2182</v>
      </c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</row>
    <row r="72" spans="1:30" s="378" customFormat="1" ht="18.75" customHeight="1" thickBot="1">
      <c r="A72" s="363"/>
      <c r="B72" s="387" t="s">
        <v>447</v>
      </c>
      <c r="C72" s="387"/>
      <c r="D72" s="388">
        <f>SUM(D60:D71)</f>
        <v>71482</v>
      </c>
      <c r="E72" s="389">
        <f>SUM(E60:E71)</f>
        <v>97180</v>
      </c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390"/>
      <c r="AA72" s="390"/>
      <c r="AB72" s="390"/>
      <c r="AC72" s="390"/>
      <c r="AD72" s="391"/>
    </row>
  </sheetData>
  <mergeCells count="71">
    <mergeCell ref="AA53:AA54"/>
    <mergeCell ref="AD34:AD40"/>
    <mergeCell ref="AD41:AD45"/>
    <mergeCell ref="AB53:AB54"/>
    <mergeCell ref="Z53:Z54"/>
    <mergeCell ref="AD6:AD7"/>
    <mergeCell ref="AD8:AD11"/>
    <mergeCell ref="AD12:AD15"/>
    <mergeCell ref="AD47:AD52"/>
    <mergeCell ref="AD53:AD54"/>
    <mergeCell ref="AD16:AD20"/>
    <mergeCell ref="AD21:AD23"/>
    <mergeCell ref="AD26:AD30"/>
    <mergeCell ref="AD31:AD33"/>
    <mergeCell ref="A12:A15"/>
    <mergeCell ref="B12:B15"/>
    <mergeCell ref="C12:C15"/>
    <mergeCell ref="A6:A7"/>
    <mergeCell ref="B6:B7"/>
    <mergeCell ref="C6:C7"/>
    <mergeCell ref="A8:A11"/>
    <mergeCell ref="B8:B11"/>
    <mergeCell ref="C8:C11"/>
    <mergeCell ref="B47:B52"/>
    <mergeCell ref="Q53:Q54"/>
    <mergeCell ref="A16:A20"/>
    <mergeCell ref="B16:B20"/>
    <mergeCell ref="C16:C20"/>
    <mergeCell ref="P53:P54"/>
    <mergeCell ref="A21:A23"/>
    <mergeCell ref="J53:J54"/>
    <mergeCell ref="B21:B23"/>
    <mergeCell ref="C21:C23"/>
    <mergeCell ref="A26:A30"/>
    <mergeCell ref="B26:B30"/>
    <mergeCell ref="C26:C30"/>
    <mergeCell ref="N53:N54"/>
    <mergeCell ref="E53:E54"/>
    <mergeCell ref="A31:A33"/>
    <mergeCell ref="B31:B33"/>
    <mergeCell ref="C31:C33"/>
    <mergeCell ref="M53:M54"/>
    <mergeCell ref="C41:C45"/>
    <mergeCell ref="A34:A40"/>
    <mergeCell ref="B34:B40"/>
    <mergeCell ref="C34:C40"/>
    <mergeCell ref="I53:I54"/>
    <mergeCell ref="A41:A45"/>
    <mergeCell ref="B41:B45"/>
    <mergeCell ref="C47:C52"/>
    <mergeCell ref="F53:F54"/>
    <mergeCell ref="H53:H54"/>
    <mergeCell ref="A47:A52"/>
    <mergeCell ref="S53:S54"/>
    <mergeCell ref="A56:E57"/>
    <mergeCell ref="A53:B54"/>
    <mergeCell ref="C53:C54"/>
    <mergeCell ref="D53:D54"/>
    <mergeCell ref="L53:L54"/>
    <mergeCell ref="O53:O54"/>
    <mergeCell ref="K53:K54"/>
    <mergeCell ref="A2:E2"/>
    <mergeCell ref="Y53:Y54"/>
    <mergeCell ref="AC53:AC54"/>
    <mergeCell ref="G53:G54"/>
    <mergeCell ref="T53:T54"/>
    <mergeCell ref="V53:V54"/>
    <mergeCell ref="W53:W54"/>
    <mergeCell ref="X53:X54"/>
    <mergeCell ref="R53:R54"/>
    <mergeCell ref="U53:U54"/>
  </mergeCells>
  <printOptions horizontalCentered="1"/>
  <pageMargins left="0.5118110236220472" right="0.5118110236220472" top="0.83" bottom="0.5511811023622047" header="0.15748031496062992" footer="0.15748031496062992"/>
  <pageSetup fitToHeight="2" fitToWidth="1" horizontalDpi="600" verticalDpi="600" orientation="portrait" paperSize="9" r:id="rId1"/>
  <headerFooter alignWithMargins="0">
    <oddHeader xml:space="preserve">&amp;R&amp;"Arial CE,Pogrubiony"Załącznik Nr &amp;A&amp;"Arial CE,Standardowy"
do Uchwały Nr XXVII/169/2012
Rady Gminy Miłkowice
z dnia 18 grudnia 2012r.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2012-12-20T12:31:55Z</cp:lastPrinted>
  <dcterms:modified xsi:type="dcterms:W3CDTF">2012-12-27T10:33:30Z</dcterms:modified>
  <cp:category/>
  <cp:version/>
  <cp:contentType/>
  <cp:contentStatus/>
</cp:coreProperties>
</file>