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8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</sheets>
  <definedNames>
    <definedName name="_xlnm.Print_Area" localSheetId="0">'1'!$A$1:$O$23</definedName>
    <definedName name="_xlnm.Print_Area" localSheetId="1">'2'!$A$1:$W$77</definedName>
    <definedName name="_xlnm.Print_Area" localSheetId="2">'3'!$A$1:$J$104</definedName>
    <definedName name="_xlnm.Print_Area" localSheetId="3">'4'!$A$1:$E$72</definedName>
    <definedName name="_xlnm.Print_Area" localSheetId="4">'5'!$A$1:$G$46</definedName>
    <definedName name="_xlnm.Print_Area" localSheetId="5">'6'!$A$1:$H$16</definedName>
    <definedName name="_xlnm.Print_Area" localSheetId="6">'7'!$A$2:$G$32</definedName>
  </definedNames>
  <calcPr fullCalcOnLoad="1"/>
</workbook>
</file>

<file path=xl/sharedStrings.xml><?xml version="1.0" encoding="utf-8"?>
<sst xmlns="http://schemas.openxmlformats.org/spreadsheetml/2006/main" count="698" uniqueCount="416">
  <si>
    <t>Dział</t>
  </si>
  <si>
    <t>Rozdział</t>
  </si>
  <si>
    <t>Nazwa</t>
  </si>
  <si>
    <t>Plan</t>
  </si>
  <si>
    <t>Z tego</t>
  </si>
  <si>
    <t>Wydatki 
bieżące</t>
  </si>
  <si>
    <t>z tego:</t>
  </si>
  <si>
    <t>Wydatki 
majątkowe</t>
  </si>
  <si>
    <t>inwestycje i zakupy inwestycyjne</t>
  </si>
  <si>
    <t>w tym:</t>
  </si>
  <si>
    <t>zakup i objęcie akcji i udziałów oraz wniesienie wkładów do spółek prawa handlowego.</t>
  </si>
  <si>
    <t>wydatki 
jednostek
budżetowych,</t>
  </si>
  <si>
    <t>dotacje na zadania bieżące</t>
  </si>
  <si>
    <t>świadczenia na rzecz osób fizycznych;</t>
  </si>
  <si>
    <t>wydatki na programy finansowane z udziałem środków, o których mowa w art. 5 ust. 1 pkt 2 i 3</t>
  </si>
  <si>
    <t xml:space="preserve">wypłaty z tytułu poręczeń i gwarancji </t>
  </si>
  <si>
    <t xml:space="preserve">obsługa długu </t>
  </si>
  <si>
    <t>na programy finansowane z udziałem środków, o których mowa w art. 5 ust. 1 pkt 2 i 3,</t>
  </si>
  <si>
    <t>wynagrodzenia i składki od nich naliczane</t>
  </si>
  <si>
    <t>wydatki związane z realizacją ich statutowych zadań;</t>
  </si>
  <si>
    <t>Transport i łączność</t>
  </si>
  <si>
    <t>przed zmianą</t>
  </si>
  <si>
    <t>zmniejszenie</t>
  </si>
  <si>
    <t>zwiększenie</t>
  </si>
  <si>
    <t>po zmianach</t>
  </si>
  <si>
    <t>Drogi publiczne powiatowe</t>
  </si>
  <si>
    <t>Drogi publiczne gminne</t>
  </si>
  <si>
    <t>Administracja publiczna</t>
  </si>
  <si>
    <t>Urzędy gmin (miast i miast na prawach powiatu)</t>
  </si>
  <si>
    <t>Oświata i wychowanie</t>
  </si>
  <si>
    <t xml:space="preserve">Przedszkola </t>
  </si>
  <si>
    <t>Pomoc społeczna</t>
  </si>
  <si>
    <t>Placówki opiekuńczo-wychowawcze</t>
  </si>
  <si>
    <t>Edukacyjna opieka wychowawcza</t>
  </si>
  <si>
    <t>Pomoc materialna dla uczniów</t>
  </si>
  <si>
    <t>Kultura i ochrona dziedzictwa narodowego</t>
  </si>
  <si>
    <t>Domy i ośrodki kultury, świetlice i kluby</t>
  </si>
  <si>
    <t>Pozostała działalność</t>
  </si>
  <si>
    <t>Wydatki razem:</t>
  </si>
  <si>
    <t>ZMIANA PLANU WYDATKÓW BUDŻETOWYCH GMINY MIŁKOWICE NA ROK 2012</t>
  </si>
  <si>
    <t>Wykaz zadań i zakupów inwestycyjnych na 2012 rok</t>
  </si>
  <si>
    <t>Lp.</t>
  </si>
  <si>
    <t>Nazwa zadania inwestycyjnego</t>
  </si>
  <si>
    <t xml:space="preserve">Planowane wydatki w roku 2012   </t>
  </si>
  <si>
    <t>Źródła finansowania</t>
  </si>
  <si>
    <t>Jednostka organizacyjna realizująca lub koordynująca wykonanie zadania</t>
  </si>
  <si>
    <t>Środki unijne (art. 5 ust. 1 pkt 2 i 3 u.f.p.)</t>
  </si>
  <si>
    <t>Wkład własny</t>
  </si>
  <si>
    <t>dochody własne jst</t>
  </si>
  <si>
    <t>kredyty, pożyczki, obligacje</t>
  </si>
  <si>
    <t>dotacje i środki z innych źródeł</t>
  </si>
  <si>
    <t>GFOŚiGW</t>
  </si>
  <si>
    <t>Uwagi</t>
  </si>
  <si>
    <t>Dział 010 : ROLNICTWO I ŁOWIECTWO</t>
  </si>
  <si>
    <t>Rozdział 01010 : Infrastruktura wodociągowa i sanitacyjna wsi</t>
  </si>
  <si>
    <t>Urząd Gminy   Miłkowice</t>
  </si>
  <si>
    <t>Budowa kanalizacji sanitarnej wraz z przyłączami dla miejscowości Gniewomirowice i Goślinów</t>
  </si>
  <si>
    <t>Aktualizacja dokumentacji projektowej na budowę sieci kanalizacji sanitarnej dla miejscowości Jakuszów kontynuacja i Jezierzany</t>
  </si>
  <si>
    <t>Budowa sieci wodociągowej dla osiedla domów jednorodzinnych Gniewomirowice II</t>
  </si>
  <si>
    <t>w tym dotacja na inw. dla GZGK 100.710</t>
  </si>
  <si>
    <t xml:space="preserve">Budowa ujęcia wody dla Gminy Miłkowice (odwierty próbne)                                                                         </t>
  </si>
  <si>
    <t>Budowa sieci kanalizacji sanitarnej i wodociągowej w Miłkowicach w obrębie ulic: 15 Sierpnia, 11 Listopada, Konstytucji 3 Maja"</t>
  </si>
  <si>
    <t>pożyczka z WFOŚiGW</t>
  </si>
  <si>
    <t>Modernizacja sieci kanalizacyjnej na terenie Gminy Miłkowice</t>
  </si>
  <si>
    <t>Dotacja celowa na dofinans. inwestycji</t>
  </si>
  <si>
    <t>GZGK    w Miłkowicach</t>
  </si>
  <si>
    <t>Modernizacja sieci wodociągowej na terenie Gminy Miłkowice</t>
  </si>
  <si>
    <t>Wymiana sieci wodociągowej w Miłkowicach osiedle PKP</t>
  </si>
  <si>
    <t>Wykup gruntów, na których posadowione są przepompownie ścieków i urządzeń wodnokanalizacyjnych</t>
  </si>
  <si>
    <t>Rozdział 01042 : Wyłączenie z produkcji gruntów rolnych</t>
  </si>
  <si>
    <t>Przebudowa drogi dojazdowej do gruntów rolnych w Jakuszowie</t>
  </si>
  <si>
    <t>dotacja z Urz.Marszałk.</t>
  </si>
  <si>
    <t>Przebudowa drogi dojazdowej do gruntów rolnych w Rzeszotarach (ul.Młyńska)</t>
  </si>
  <si>
    <t>Dział 400 : WYTWARZANIE I ZAOPATRYWANIE W ENERGIĘ ELEKTRYCZNĄ, GAZ I WODĘ</t>
  </si>
  <si>
    <t>Rozdział 40004 : Dostarczanie paliw gazowych</t>
  </si>
  <si>
    <t>Koncepcja gazyfikacji Gminy Miłkowice</t>
  </si>
  <si>
    <t>Dział 600 : TRANSPORT I ŁĄCZNOŚĆ</t>
  </si>
  <si>
    <t>Rozdział 60014 : Drogi publiczne powiatowe</t>
  </si>
  <si>
    <t>Budowa chodnika z kanalizacją deszczową w miejscowości Miłkowice w ciągu drogi powiatowej nr 2210D na odcinku od km 5+415 do km 5+740, obiekt: Budowa nawierzchni chodnika</t>
  </si>
  <si>
    <t>dotacja ze Starostwa Powiatowego L-ca</t>
  </si>
  <si>
    <t xml:space="preserve">Remont chodnika w miejscowości Siedliska                                                                                                          </t>
  </si>
  <si>
    <t xml:space="preserve">Przewiert sterowany (odwodnienie) w miejscowości Rzeszotary                                                                     </t>
  </si>
  <si>
    <t>Remont drogi powiatowej nr 2214D (ul. Niedźwiedzicka) wraz z odwodnieniem w miejscowości Miłkowice</t>
  </si>
  <si>
    <t>Starostwo Powiatowe w Legnicy</t>
  </si>
  <si>
    <t>Rozdział 60016 : Drogi publiczne gminne</t>
  </si>
  <si>
    <t>Remont drogi Nr 258/4 w Bobrowie (fundusz sołecki)</t>
  </si>
  <si>
    <t>Remont drogi Nr 123/1 wraz z odwodnieniem w Jezierzanach</t>
  </si>
  <si>
    <t>Remont mostu na cieku Lubiatówka w miejscowości Gniewomirowice</t>
  </si>
  <si>
    <t>Budowa ciągu rowerowo pieszego w Miłkowicach</t>
  </si>
  <si>
    <t>Dział 700 : GOSPODARKA MIESZKANIOWA</t>
  </si>
  <si>
    <t>Rozdział 70005 : Gospodarka gruntami i nieruchomościami</t>
  </si>
  <si>
    <t>Wykup, przejęcie na mienie gruntów i koszty z tym związane</t>
  </si>
  <si>
    <t>Dział 750 : ADMINISTRACJA PUBLICZNA</t>
  </si>
  <si>
    <t>Rozdział 75023 : Urzędy gmin</t>
  </si>
  <si>
    <t>Zakup kserokopiarki do Urzędu Gminy</t>
  </si>
  <si>
    <t>Dział 754 : Bezpieczeństwo publiczne i ochrona przeciwpożarowa</t>
  </si>
  <si>
    <t>Rozdział  75412: Ochotnicze straże pożarne</t>
  </si>
  <si>
    <t>Zakup bram przemysłowych segmentowych aluminiowych typ 9000M do Remizy OSP Grzymalin</t>
  </si>
  <si>
    <t>Dotacja celowa na dofinans. zakupów  inwestycyjnych</t>
  </si>
  <si>
    <t>OSP Grzymalin</t>
  </si>
  <si>
    <t>Zakup samochodu specjalnego pożarniczego średniego dla OSP Grzymalin</t>
  </si>
  <si>
    <t>Zakup uniwersalnego narzędzia hydraulicznego rozpieracza kolumnowego dla OSP Miłkowice</t>
  </si>
  <si>
    <t>OSP Miłkowice</t>
  </si>
  <si>
    <t>Zakup sprzetu strażackiego dla OSP Miłkowice w ramach programu "Dolny Śląsk Bezpieczny Ratownik w OSP"</t>
  </si>
  <si>
    <t>Doposażenie OSP w Rzeszotarach w piłę łańcuchową (fundusz sołecki 5.000zł)</t>
  </si>
  <si>
    <t>UG Miłkowice</t>
  </si>
  <si>
    <t>Rozdział  75421: Zarządzanie kryzysowe</t>
  </si>
  <si>
    <t>Zakup sprzetu strażackiego dla OSP Rzeszotary w ramach programu "Dolny Śląsk Bezpieczny Ratownik w OSP"</t>
  </si>
  <si>
    <t>Dotacja celowa na zakup inwestycyjny</t>
  </si>
  <si>
    <t>OSP Rzeszotary</t>
  </si>
  <si>
    <t>Dział 801 : OŚWIATA I WYCHOWANIE</t>
  </si>
  <si>
    <t>Rozdział  80101: Szkoły podstawowe</t>
  </si>
  <si>
    <t>Zakup pieca do budynku Szkoły Podstawowej w Miłkowicach</t>
  </si>
  <si>
    <t>Szk.Gimn. Zesp. Szkół</t>
  </si>
  <si>
    <t>Termomodernizacja budynku szkoły podstawowej w Rzeszotarach i w Miłkowicach</t>
  </si>
  <si>
    <t>Dział 851 : OCHRONA ZDROWIA</t>
  </si>
  <si>
    <t>Rozdział  85121: Lecznictwo ambulatoryjne</t>
  </si>
  <si>
    <t>Modernizacja centralnego ogrzewania Gminnego Ośrodka Zdrowia w Miłkowicach, zakup aparatury i sprzętu specjalistycznego</t>
  </si>
  <si>
    <t>Gminny Ośrodek Zdrowia</t>
  </si>
  <si>
    <t>Dział 900 : GOSPODARKA KOMUNALNA I OCHRONA ŚRODOWISKA</t>
  </si>
  <si>
    <t>Rozdział  90002: Gospodarka odpadami</t>
  </si>
  <si>
    <t>Zakup pojemników do selektywnej zbiórki odpadów</t>
  </si>
  <si>
    <t>Rozdział  90005: Ochrona powietrza atmosferycznego i klimatu</t>
  </si>
  <si>
    <t>Budowa kotłowni ekologicznej dla komplesku budynków publicznych w Miłkowicach (aktualizacja dokumentacji)</t>
  </si>
  <si>
    <t>Rozdział  90015: Oświetlenie ulic placów i dróg</t>
  </si>
  <si>
    <t>Dział 921 : KULTURA I OCHRONA DZIEDZICTWA NARODOWEGO</t>
  </si>
  <si>
    <t>Rozdział  92109: Domy i ośrodki kultury, świetlice i kluby</t>
  </si>
  <si>
    <t>Remont świetlicy wiejskiej w budynku OSP Grzymalin (fundusz sołecki 10.644zł) + aktualizacja dokumentacji</t>
  </si>
  <si>
    <t>Utworzenie św. wiejskiej z segmentów kontenerowych w Goślinowie (w tym fundusz sołecki 2.000zł)</t>
  </si>
  <si>
    <t xml:space="preserve">Budowa świetlicy wiejskiej w Jakuszowie                                                                                                           </t>
  </si>
  <si>
    <t>Adaptacja pozyskanego budynku na świetlicę w Jakuszowie (fundusz sołecki 7.000zł) + dokumentacja</t>
  </si>
  <si>
    <t>Przebudowa i ocieplenie dachu - I etap oraz termomodernizacja elewacji - etap II budynku świetlicy wiejskiej w Miłkowicach</t>
  </si>
  <si>
    <t xml:space="preserve">Remont świetlicy wiejskiej i remizy OSP w Rzeszotarach (fundusz sołecki 7.000)                                      </t>
  </si>
  <si>
    <t>Remont budynku Gminnego Ośrodka Kultury i Sportu w Siedliskach</t>
  </si>
  <si>
    <t>Dotacja celowa na zakup inw.</t>
  </si>
  <si>
    <t>GOKiS    Miłkowice</t>
  </si>
  <si>
    <t>Rozdział  92195: Pozostała działalność</t>
  </si>
  <si>
    <t>Budowa placu zabaw w Głuchowicach (fundusz sołecki)</t>
  </si>
  <si>
    <t>Rozbudowa placu zabaw wraz z budową terenu rekreacyjnego w Gniewomirowicach (fundusz sołecki)</t>
  </si>
  <si>
    <t>Budowa placu zabaw w Kochlicach (fundusz sołecki)</t>
  </si>
  <si>
    <t>Wybudowanie sceny na terenie sołectwa Siedliska (fundusz sołecki)</t>
  </si>
  <si>
    <t>Dział 926 : KULTURA FIZYCZNA</t>
  </si>
  <si>
    <t>Rozdział  92601: Obiekty sportowe</t>
  </si>
  <si>
    <t xml:space="preserve">Wyposażenie boiska sportowego w zaplecze kontenerowe szatniowo-sanitarne w Siedliskach </t>
  </si>
  <si>
    <t>Wyposażenie szatni w Siedliskach w przyłącze energetyczne oraz zagospodarowanie terenu (fundusz sołecki 4.000zł)</t>
  </si>
  <si>
    <t xml:space="preserve">Wykonanie przyłącza wodociągowego oraz zbiornika bezodpływowego na ścieki do szatni w Siedliskach </t>
  </si>
  <si>
    <t>Dotacja celowa na inwestycyje</t>
  </si>
  <si>
    <t>Przebudowa obiektu sportowego w Miłkowicach</t>
  </si>
  <si>
    <t>Razem wydatki inwestycyjne:</t>
  </si>
  <si>
    <r>
      <t xml:space="preserve">Budowa hydroforni wraz ze zbiornikiem w miejscowości Grzymalin                                                                 </t>
    </r>
    <r>
      <rPr>
        <b/>
        <sz val="10"/>
        <rFont val="Arial"/>
        <family val="2"/>
      </rPr>
      <t xml:space="preserve"> </t>
    </r>
  </si>
  <si>
    <r>
      <t xml:space="preserve">Budowa oświetlenia dróg i ulic na terenie Gminy Miłkowice                               </t>
    </r>
    <r>
      <rPr>
        <b/>
        <sz val="10"/>
        <rFont val="Arial"/>
        <family val="2"/>
      </rPr>
      <t xml:space="preserve">                                                   </t>
    </r>
  </si>
  <si>
    <t>Budowa kanalizacji sanitarnej wraz z przyłączami na terenie Gminy Miłkowice: Zadanie 1: " II etap zadania Jezierzany, Jakuszów, Pątnówek, Bobrów"  - część Jakuszowa i Jezierzany Zadanie 2 "Gniewomirowice - Goślinów" Etap I Goslinów-Gniewomirowice osiedle Zachodnie</t>
  </si>
  <si>
    <t>Budowa sieci wodociągowej i kanalizacyjnej dla zespołu domów jednorodzinnych w Grzymalinie (dokumentacja)</t>
  </si>
  <si>
    <t>Budowa sieci wodociągowej dla Strefy Aktywności Gospodarczej w Rzeszotarach (rozpoczęcie)</t>
  </si>
  <si>
    <t>Wykaz wydatków w ramach funduszu sołeckiego na rok 2012</t>
  </si>
  <si>
    <t>Nazwa sołectwa</t>
  </si>
  <si>
    <t>Środki funduszu przypadajace na dane sołectwo (art.2 ust.1. Ustawy o funduszu sołeckim)</t>
  </si>
  <si>
    <t>Przedsięwzięcia przewidziane do realizacji wg wniosku sołectwa</t>
  </si>
  <si>
    <t>Wydatki w ramach funduszu</t>
  </si>
  <si>
    <t>01008 §4300</t>
  </si>
  <si>
    <t>60015 §2650</t>
  </si>
  <si>
    <t>60016 §4210</t>
  </si>
  <si>
    <t>60016 §6050</t>
  </si>
  <si>
    <t>75095 §4210</t>
  </si>
  <si>
    <t>75412 §4210</t>
  </si>
  <si>
    <t>75412 §6060</t>
  </si>
  <si>
    <t>80113 §4300</t>
  </si>
  <si>
    <t>90004 §4170</t>
  </si>
  <si>
    <t>90004 §4210</t>
  </si>
  <si>
    <t>90004 §6060</t>
  </si>
  <si>
    <t>90008 §4210</t>
  </si>
  <si>
    <t>90015 §4300</t>
  </si>
  <si>
    <t>92109 §4210</t>
  </si>
  <si>
    <t>92109 §6050</t>
  </si>
  <si>
    <t>92116 §4240</t>
  </si>
  <si>
    <t>92195 §4210</t>
  </si>
  <si>
    <t>92195 §4300</t>
  </si>
  <si>
    <t>92195 §6050</t>
  </si>
  <si>
    <t>92601 §4210</t>
  </si>
  <si>
    <t>92601 §6050</t>
  </si>
  <si>
    <t>92605 §4210</t>
  </si>
  <si>
    <t>92605 §4300</t>
  </si>
  <si>
    <t>Razem:</t>
  </si>
  <si>
    <t>O1008</t>
  </si>
  <si>
    <t>Bobrów</t>
  </si>
  <si>
    <t>Remont drogi Nr 258/4</t>
  </si>
  <si>
    <t>Głuchowice</t>
  </si>
  <si>
    <t xml:space="preserve">Budowa placu zabaw </t>
  </si>
  <si>
    <t>Promocja idei odnowy wsi, poprzez m.in. organizację "Pleneru rzeźbiarskiego"</t>
  </si>
  <si>
    <t>Gniewomirowice</t>
  </si>
  <si>
    <t>Poprawa oświetlenia na terenie sołectwa - zamontowanie dodatkowych punktów świetlnych</t>
  </si>
  <si>
    <t>w.bież.</t>
  </si>
  <si>
    <t>Zakup kosiarki do utrzymania terenów zielonych</t>
  </si>
  <si>
    <t>Utrzymanie placu zabaw</t>
  </si>
  <si>
    <t>Rozbudowa placu zabaw wraz z budową terenu rekreacyjnego</t>
  </si>
  <si>
    <t>ogółem</t>
  </si>
  <si>
    <t>Goślinów</t>
  </si>
  <si>
    <t>Promocja idei odnowy wsi, poprzez m.in. organizację festynu rodzinnego</t>
  </si>
  <si>
    <t>Wybudowanie sceny na terenie sołectwa</t>
  </si>
  <si>
    <t>Naprawa wiaty przystankowej</t>
  </si>
  <si>
    <t>Adaptacja i wyposażenie świetlicy kontenerowej</t>
  </si>
  <si>
    <t>Grzymalin</t>
  </si>
  <si>
    <t>Utrzymanie i konserwacja placu zabaw</t>
  </si>
  <si>
    <t>Utrzymanie terenów zielonych</t>
  </si>
  <si>
    <t>Promocja idei odnowy wsi, poprzez m.in. organizację "Święta Grzymalina"</t>
  </si>
  <si>
    <t>Dowóz dzieci do szkoły na zajęcia pozalekcyjne</t>
  </si>
  <si>
    <t>Remont świetlicy w budynku remizy strażackiej</t>
  </si>
  <si>
    <t>Jakuszów</t>
  </si>
  <si>
    <t xml:space="preserve">Zakup tablicy informacyjnej </t>
  </si>
  <si>
    <t>Promocja idei odnowy wsi, organizacja i udział w imprezach integracyjnych</t>
  </si>
  <si>
    <t>Adaptacja  pozyskanego budynku na świetlicę</t>
  </si>
  <si>
    <t>Jezierzany</t>
  </si>
  <si>
    <t>Konserwacja rowów melioracyjnych sprzętem mechanicznym</t>
  </si>
  <si>
    <t>Kochlice</t>
  </si>
  <si>
    <t>Miłkowice</t>
  </si>
  <si>
    <t>Zakup wyposażenia gastronomiczno-rekreacyjnego</t>
  </si>
  <si>
    <t>Doposażenie w sprzęt sportowy boiska ORLIK</t>
  </si>
  <si>
    <t xml:space="preserve">Doposażenie świetlicy wiejskiej </t>
  </si>
  <si>
    <t>Zakup mundurów koszarowych dla OSP Miłkowice</t>
  </si>
  <si>
    <t>Remont budynku świetlicy wiejskiej</t>
  </si>
  <si>
    <t>Pątnówek</t>
  </si>
  <si>
    <t>Remont świetlicy wiejskiej</t>
  </si>
  <si>
    <t>Promocja idei odnowy wsi, poprzez m.in. organizację Dożynek Wiejskich</t>
  </si>
  <si>
    <t>Zagospodarowanie byłego zbiornika p.poż. Na rekreacyjny terenu rekreacyjnego</t>
  </si>
  <si>
    <t>Rzeszotary-Dobrzejów</t>
  </si>
  <si>
    <t>Remont pomieszczeń dla KGW (Promocja tradycji dziedzictwa kulturowego)</t>
  </si>
  <si>
    <t>Doposażenie OSP w piłę łańcuchową</t>
  </si>
  <si>
    <t xml:space="preserve">Zakup namiotu rekreacyjnego </t>
  </si>
  <si>
    <t>Zagospodarowanie terenu sportowo-rekreacyjnego w Dobrzejowie</t>
  </si>
  <si>
    <t>Dofinansowanie sekcji szachowo warcabowej</t>
  </si>
  <si>
    <t>Zakup strojów sportowych dla drużyny młodzików</t>
  </si>
  <si>
    <t>Remont budynku świetlicy a OSP Rzeszotary (aktualizacja)</t>
  </si>
  <si>
    <t>Siedliska</t>
  </si>
  <si>
    <t>Zakup namiotu rekreacyjnego wraz z ławo-stołami</t>
  </si>
  <si>
    <t>Promocja idei odnowy wsi, poprzez m.in. organizację Dożynek Gminnych</t>
  </si>
  <si>
    <t>Wsparcie działań sportowych drużyn młodzików i juniorów</t>
  </si>
  <si>
    <t>Budowa szatni - dokumentacja</t>
  </si>
  <si>
    <t>Studnica</t>
  </si>
  <si>
    <t>Remont i doposażenie świetlicy wiejskiej</t>
  </si>
  <si>
    <t>Ulesie-Lipce</t>
  </si>
  <si>
    <t>Doposażenie świetlicy środowiskowej</t>
  </si>
  <si>
    <t>Zakup książek do Biblioteki w Ulesiu</t>
  </si>
  <si>
    <t xml:space="preserve">Suma środków przypadajaca na  wszystkie sołectwa </t>
  </si>
  <si>
    <t>Razem wydatki:</t>
  </si>
  <si>
    <t>Plan wydatków realizowanych w ramach funduszu sołeckiego w układzie działów i rozdziałów klasyfikacji budżetowej</t>
  </si>
  <si>
    <t>Wydatki majątkowe</t>
  </si>
  <si>
    <t>Wydatki bieżące</t>
  </si>
  <si>
    <t>010</t>
  </si>
  <si>
    <t>01008</t>
  </si>
  <si>
    <t>600</t>
  </si>
  <si>
    <t>750</t>
  </si>
  <si>
    <t>754</t>
  </si>
  <si>
    <t>801</t>
  </si>
  <si>
    <t>900</t>
  </si>
  <si>
    <t>921</t>
  </si>
  <si>
    <t>926</t>
  </si>
  <si>
    <t>Suma</t>
  </si>
  <si>
    <t>Dochody i wydatki związane z realizacją zadań z zakresu administracji rządowej i innych zadań zleconych odrębnymi ustawami w 2012 r.</t>
  </si>
  <si>
    <t>w złotych</t>
  </si>
  <si>
    <t>Dotacje
ogółem</t>
  </si>
  <si>
    <t>Wydatki
ogółem
(6+9)</t>
  </si>
  <si>
    <t>Wydatki
bieżące</t>
  </si>
  <si>
    <t>Wydatki
majątkowe</t>
  </si>
  <si>
    <t>wynagrodzenia i pochodne od wynagrodzeń</t>
  </si>
  <si>
    <t>świadczenia społeczne</t>
  </si>
  <si>
    <t>01010</t>
  </si>
  <si>
    <t>Ogółem</t>
  </si>
  <si>
    <t>PLAN PRZYCHODÓW I WYDATKÓW NA WYDZIELONYM RACHUNKU</t>
  </si>
  <si>
    <t>PLACÓWEK OŚWIATOWYCH W GMINIE MIŁKOWICE</t>
  </si>
  <si>
    <t>NA ROK 2012</t>
  </si>
  <si>
    <t>DZIAŁ</t>
  </si>
  <si>
    <t>ROZDZIAŁ</t>
  </si>
  <si>
    <t>WYSZCZEGÓLNIENIE</t>
  </si>
  <si>
    <t>BO</t>
  </si>
  <si>
    <t>DOCHODY</t>
  </si>
  <si>
    <t>WYDATKI</t>
  </si>
  <si>
    <t>BZ</t>
  </si>
  <si>
    <t>80101</t>
  </si>
  <si>
    <t>Szkoła Podstawowa w Rzeszotarach</t>
  </si>
  <si>
    <t>0750 - dochody z najmu</t>
  </si>
  <si>
    <t>0960 - otrzymane darowizny</t>
  </si>
  <si>
    <t>0970 - pozostałe dochody (dożywianie)</t>
  </si>
  <si>
    <t>Szkolno-Gimnazjalny Zespół Szkół w Miłkowicach</t>
  </si>
  <si>
    <t>4210 - zakup materiałów i wyposażenia</t>
  </si>
  <si>
    <t>4240 - zakup pomocy dydakt., książek</t>
  </si>
  <si>
    <t>4300 - zakup pozostałych usług</t>
  </si>
  <si>
    <t>4110 - składki na ubezpieczenia społeczne</t>
  </si>
  <si>
    <t>4120 -  składki na Fundusz Pracy</t>
  </si>
  <si>
    <t>4170 - wynagrodzenia bezosobowe</t>
  </si>
  <si>
    <t>OGÓŁEM</t>
  </si>
  <si>
    <t>Dochody i wydatki związane z realizacją zadań wykonywanych na mocy porozumień z organami administracji rządowej w 2012 roku</t>
  </si>
  <si>
    <t>Porozumienie z Wojewodą Dolnośląskim na "Pomoc państwa w zakresie dożywiania"</t>
  </si>
  <si>
    <t>Dochody i wydatki związane z realizacją zadań wykonywanych w drodze umów lub porozumień między jednostkami samorządu terytorialnego w 2012 roku</t>
  </si>
  <si>
    <t>Wyszczególnienie</t>
  </si>
  <si>
    <t>Lokalny transport zbiorowy</t>
  </si>
  <si>
    <t xml:space="preserve">Drogi publiczne powiatowe </t>
  </si>
  <si>
    <t>Przedszkola</t>
  </si>
  <si>
    <t>4220 - zakup artykułów żywnościowych</t>
  </si>
  <si>
    <t>Wykaz dotacji udzielanych z budżetu Gminy Miłkowice w roku 2012</t>
  </si>
  <si>
    <t>Nazwa dotowanego</t>
  </si>
  <si>
    <t>Zakres</t>
  </si>
  <si>
    <t>Kwota dotacji</t>
  </si>
  <si>
    <t xml:space="preserve">  I.  Dotacje przedmiotowe </t>
  </si>
  <si>
    <t xml:space="preserve">  I.1. Jednostki sektora finansów publicznych (samorządowy zakład budżetowy)</t>
  </si>
  <si>
    <t>Infrastruktura sanitacyjna wsi</t>
  </si>
  <si>
    <t>Gminny Zakład Gospodarki komunalnej w Miłkowicach</t>
  </si>
  <si>
    <t>Dostarczanie wody</t>
  </si>
  <si>
    <t>dotacja do 1 km dróg gminnych</t>
  </si>
  <si>
    <t>Dowożenie uczniów do szkół</t>
  </si>
  <si>
    <t>dotacja do 1 km przewozu uczniów</t>
  </si>
  <si>
    <t>Gospodarka odpadami</t>
  </si>
  <si>
    <t>dotacja do 1 mieszkańca gminy w zakresie utrzymania czystości</t>
  </si>
  <si>
    <t>Utrzymanie zieleni</t>
  </si>
  <si>
    <t>dotacja do 1 mieszkańca gminy w zakresie utrzymania zieleni</t>
  </si>
  <si>
    <t xml:space="preserve">  II. Dotacje podmiotowe </t>
  </si>
  <si>
    <t xml:space="preserve">  II.1. Jednostki sektora finansów publicznych</t>
  </si>
  <si>
    <t>Gminny Ośrodek Kultury i Sportu w Miłkowicach</t>
  </si>
  <si>
    <t>na realizację zadań gminy z zakresu krzewienia kultury</t>
  </si>
  <si>
    <t>Biblioteki</t>
  </si>
  <si>
    <t>na realizację zadań gminy z zakresu bibliotek gminnych</t>
  </si>
  <si>
    <t>na realizację zadań gminy z zakresu rekreacji</t>
  </si>
  <si>
    <t>Zadania z zakresu kultury fizycznej i sportu</t>
  </si>
  <si>
    <t>na realizację zadań gminy z zakresu kultury fizycznej i sportu</t>
  </si>
  <si>
    <t xml:space="preserve">  II.2. Jednostki spoza sektora finansów publicznych</t>
  </si>
  <si>
    <t>Przedszkole Niepubliczne "Słoneczko" w Miłkowicach</t>
  </si>
  <si>
    <t xml:space="preserve">na koszty utrzymania dzieci uczęszczających do przedszkola </t>
  </si>
  <si>
    <t xml:space="preserve">na koszty utrzymania dzieci upośledzonych uczęszczających do przedszkola </t>
  </si>
  <si>
    <t xml:space="preserve">  III. Dotacje celowe</t>
  </si>
  <si>
    <t xml:space="preserve">  III.1. Jednostki sektora finansów publicznych</t>
  </si>
  <si>
    <t>Przeciwdziałanie alkoholizmowi</t>
  </si>
  <si>
    <t>na realizację programów profilaktyki rozwiązywania problemów alkoholowych</t>
  </si>
  <si>
    <t>Lecznictwo ambulatoryjne</t>
  </si>
  <si>
    <t>Gminny Ośrodek Zdrowia w Miłkowicach</t>
  </si>
  <si>
    <t>na realizację programu "Profilaktyka zdrowego kręgosłupa"</t>
  </si>
  <si>
    <t>Infrastruktura wodociągowa i sanitacyjna wsi</t>
  </si>
  <si>
    <t>90002</t>
  </si>
  <si>
    <t>92601</t>
  </si>
  <si>
    <t>Obiekty sportowe</t>
  </si>
  <si>
    <t>sąsiednie gminy</t>
  </si>
  <si>
    <t>na koszty utrzymania dzieci z terenu Gminy Miłkowice uczęszczające do przedszkoli w sąsiednich gminach</t>
  </si>
  <si>
    <t>Zbiorowy transport lokalny</t>
  </si>
  <si>
    <t>Miasto Legnica</t>
  </si>
  <si>
    <t>na komunikację publiczną Ulesie-Legnica</t>
  </si>
  <si>
    <t>Starostwo Powiatowe w  Legnicy</t>
  </si>
  <si>
    <t xml:space="preserve">  III.2. Jednostki spoza sektora finansów publicznych</t>
  </si>
  <si>
    <t>stowarzyszenia</t>
  </si>
  <si>
    <t>upowszechnianie kultury fizycznej sportu na terenie gminy</t>
  </si>
  <si>
    <t>Ochrona zabytków</t>
  </si>
  <si>
    <t>X</t>
  </si>
  <si>
    <t>na prace konserwatorskie, restauratorskie i roboty budowlane przy zabytkach</t>
  </si>
  <si>
    <t>Ochotnicze straże pożarne</t>
  </si>
  <si>
    <t>na dofinansowanie zakupów inwestycyjnych</t>
  </si>
  <si>
    <t>Ogółem dotacje :</t>
  </si>
  <si>
    <t>w tym dotacje na zadania bieżące:</t>
  </si>
  <si>
    <r>
      <t xml:space="preserve">dotacja do 1 m </t>
    </r>
    <r>
      <rPr>
        <vertAlign val="superscript"/>
        <sz val="10"/>
        <rFont val="Arial CE"/>
        <family val="2"/>
      </rPr>
      <t>3</t>
    </r>
    <r>
      <rPr>
        <sz val="10"/>
        <rFont val="Arial CE"/>
        <family val="2"/>
      </rPr>
      <t xml:space="preserve"> ścieków</t>
    </r>
  </si>
  <si>
    <r>
      <t xml:space="preserve">dotacja do 1 m </t>
    </r>
    <r>
      <rPr>
        <vertAlign val="superscript"/>
        <sz val="10"/>
        <rFont val="Arial CE"/>
        <family val="2"/>
      </rPr>
      <t>3</t>
    </r>
    <r>
      <rPr>
        <sz val="10"/>
        <rFont val="Arial CE"/>
        <family val="2"/>
      </rPr>
      <t xml:space="preserve"> wody</t>
    </r>
  </si>
  <si>
    <r>
      <t>Ró</t>
    </r>
    <r>
      <rPr>
        <sz val="12"/>
        <rFont val="Arial"/>
        <family val="2"/>
      </rPr>
      <t>ż</t>
    </r>
    <r>
      <rPr>
        <sz val="10"/>
        <rFont val="Arial"/>
        <family val="2"/>
      </rPr>
      <t>ne jednostki obs</t>
    </r>
    <r>
      <rPr>
        <sz val="12"/>
        <rFont val="Arial"/>
        <family val="2"/>
      </rPr>
      <t>ługi gospodarki mieszkaniowej</t>
    </r>
  </si>
  <si>
    <r>
      <t xml:space="preserve">dotacja do 1 m </t>
    </r>
    <r>
      <rPr>
        <vertAlign val="superscript"/>
        <sz val="10"/>
        <rFont val="Arial CE"/>
        <family val="2"/>
      </rPr>
      <t>2</t>
    </r>
    <r>
      <rPr>
        <sz val="10"/>
        <rFont val="Arial CE"/>
        <family val="2"/>
      </rPr>
      <t xml:space="preserve"> powierzchni administrowanej</t>
    </r>
  </si>
  <si>
    <r>
      <t>na modernizację centralnego ogrzewania ora zakup aparatury, sprzętu specjalistycznego i komputerowego (</t>
    </r>
    <r>
      <rPr>
        <i/>
        <sz val="10"/>
        <rFont val="Arial CE"/>
        <family val="0"/>
      </rPr>
      <t>dotacja inwestycyjna)</t>
    </r>
  </si>
  <si>
    <r>
      <t xml:space="preserve">Remont budynku Gminnego Osrodka Kultury i Sportu w Siedliskach </t>
    </r>
    <r>
      <rPr>
        <i/>
        <sz val="10"/>
        <rFont val="Arial CE"/>
        <family val="0"/>
      </rPr>
      <t>(dotacja inwestycyjna)</t>
    </r>
  </si>
  <si>
    <r>
      <t>Budowa sieci wodociągowej dla osiedla domów jednorodzinnych Gniewomirowice II (</t>
    </r>
    <r>
      <rPr>
        <i/>
        <sz val="10"/>
        <rFont val="Arial CE"/>
        <family val="2"/>
      </rPr>
      <t>dotacja inwestycyjna)</t>
    </r>
  </si>
  <si>
    <r>
      <t>Modernizacja sieci wodociągowej na terenie Gminy Miłkowice (</t>
    </r>
    <r>
      <rPr>
        <i/>
        <sz val="10"/>
        <rFont val="Arial CE"/>
        <family val="2"/>
      </rPr>
      <t>dotacja inwestycyjna)</t>
    </r>
  </si>
  <si>
    <r>
      <t>Wymiana sieci wodociągowej w Miłkowicach os. PKP (</t>
    </r>
    <r>
      <rPr>
        <i/>
        <sz val="10"/>
        <rFont val="Arial CE"/>
        <family val="2"/>
      </rPr>
      <t>dotacja inwestycyjna)</t>
    </r>
  </si>
  <si>
    <r>
      <t>Budowa wodociągu w miejscowości Grzymalin (</t>
    </r>
    <r>
      <rPr>
        <i/>
        <sz val="10"/>
        <rFont val="Arial CE"/>
        <family val="2"/>
      </rPr>
      <t>dotacja inwestycyjna)</t>
    </r>
  </si>
  <si>
    <r>
      <t>Modernizacja sieci kanalizacyjnej na terenie Gminy Miłkowice (</t>
    </r>
    <r>
      <rPr>
        <i/>
        <sz val="10"/>
        <rFont val="Arial CE"/>
        <family val="2"/>
      </rPr>
      <t>dotacja inwestycyjna)</t>
    </r>
  </si>
  <si>
    <r>
      <t>Budowa sieci wodociągowej dla Strefy Aktywności Gospodarczej w Rzeszotarach (</t>
    </r>
    <r>
      <rPr>
        <i/>
        <sz val="10"/>
        <rFont val="Arial CE"/>
        <family val="2"/>
      </rPr>
      <t>dotacja inwestycyjna)</t>
    </r>
  </si>
  <si>
    <r>
      <t>Budowa hydroforni wraz ze zbiornikiem w miejscowości Grzymalin (</t>
    </r>
    <r>
      <rPr>
        <i/>
        <sz val="10"/>
        <rFont val="Arial CE"/>
        <family val="2"/>
      </rPr>
      <t>dotacja inwestycyjna)</t>
    </r>
  </si>
  <si>
    <r>
      <t>Zakup pojemników do selektywnej zbiórki odpadów (</t>
    </r>
    <r>
      <rPr>
        <i/>
        <sz val="10"/>
        <rFont val="Arial CE"/>
        <family val="2"/>
      </rPr>
      <t>dotacja inwestycyjna)</t>
    </r>
  </si>
  <si>
    <r>
      <t>Wykonanie przyłącza wodociągowego oraz zbiornika bezodpływowego na ścieki do szatni w Siedliskach  (</t>
    </r>
    <r>
      <rPr>
        <i/>
        <sz val="10"/>
        <rFont val="Arial CE"/>
        <family val="2"/>
      </rPr>
      <t>dotacja inwestycyjna)</t>
    </r>
  </si>
  <si>
    <r>
      <t>Remont drogi powiatowej nr 2214D (ul. Niedźwiedzicka) wraz z odwodnieniem w miejscowości Miłkowice</t>
    </r>
    <r>
      <rPr>
        <i/>
        <sz val="10"/>
        <rFont val="Arial CE"/>
        <family val="0"/>
      </rPr>
      <t xml:space="preserve"> (dotacja inwestycyjna)</t>
    </r>
  </si>
  <si>
    <t>§</t>
  </si>
  <si>
    <t>Plan przed zmianą</t>
  </si>
  <si>
    <t>1</t>
  </si>
  <si>
    <t>2</t>
  </si>
  <si>
    <t>3</t>
  </si>
  <si>
    <t>4</t>
  </si>
  <si>
    <t>5</t>
  </si>
  <si>
    <t>6</t>
  </si>
  <si>
    <t>7</t>
  </si>
  <si>
    <t>bieżące</t>
  </si>
  <si>
    <t>756</t>
  </si>
  <si>
    <t>Dochody od osób prawnych, od osób fizycznych i od innych jednostek nieposiadających osobowości prawnej oraz wydatki związane z ich poborem</t>
  </si>
  <si>
    <t>5 782 170,00</t>
  </si>
  <si>
    <t>-13 860,00</t>
  </si>
  <si>
    <t>0,00</t>
  </si>
  <si>
    <t>5 768 310,00</t>
  </si>
  <si>
    <t xml:space="preserve">w tym z tytułu dotacji i środków na finansowanie wydatków na realizację zadań finansowanych z udziałem środków, o których mowa w art. 5 ust. 1 pkt 2 i 3 
</t>
  </si>
  <si>
    <t>75618</t>
  </si>
  <si>
    <t>Wpływy z innych opłat stanowiących dochody jednostek samorządu terytorialnego na podstawie ustaw</t>
  </si>
  <si>
    <t>157 150,00</t>
  </si>
  <si>
    <t>143 290,00</t>
  </si>
  <si>
    <t>0490</t>
  </si>
  <si>
    <t>Wpływy z innych lokalnych opłat pobieranych przez jednostki samorządu terytorialnego na podstawie odrębnych ustaw</t>
  </si>
  <si>
    <t>68 500,00</t>
  </si>
  <si>
    <t>54 640,00</t>
  </si>
  <si>
    <t>758</t>
  </si>
  <si>
    <t>Różne rozliczenia</t>
  </si>
  <si>
    <t>5 841 017,71</t>
  </si>
  <si>
    <t>13 860,00</t>
  </si>
  <si>
    <t>5 854 877,71</t>
  </si>
  <si>
    <t>razem:</t>
  </si>
  <si>
    <t>16 034 977,19</t>
  </si>
  <si>
    <t>228 935,98</t>
  </si>
  <si>
    <t>majątkowe</t>
  </si>
  <si>
    <t>753 737,03</t>
  </si>
  <si>
    <t>144 550,00</t>
  </si>
  <si>
    <t>Ogółem:</t>
  </si>
  <si>
    <t>16 788 714,22</t>
  </si>
  <si>
    <t>373 485,98</t>
  </si>
  <si>
    <t>ZMIANA PLANU DOCHODÓW GMINY MIŁKOWICE NA ROK 2012</t>
  </si>
  <si>
    <t>Zmiana</t>
  </si>
  <si>
    <t>Plan po zmianach 
(5+6)</t>
  </si>
  <si>
    <t>75802</t>
  </si>
  <si>
    <t>Uzupełnienie subwencji ogólnej dla jednostek samorządu terytorialnego</t>
  </si>
  <si>
    <t>2750</t>
  </si>
  <si>
    <t>Środki na uzupełnienie dochodów gmin</t>
  </si>
</sst>
</file>

<file path=xl/styles.xml><?xml version="1.0" encoding="utf-8"?>
<styleSheet xmlns="http://schemas.openxmlformats.org/spreadsheetml/2006/main">
  <numFmts count="5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_-* #,##0\ _z_ł_-;\-* #,##0\ _z_ł_-;_-* \-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;[Red]#,##0"/>
    <numFmt numFmtId="171" formatCode="00000"/>
    <numFmt numFmtId="172" formatCode="000"/>
    <numFmt numFmtId="173" formatCode="00\-000"/>
    <numFmt numFmtId="174" formatCode="0.000"/>
    <numFmt numFmtId="175" formatCode="0.0"/>
    <numFmt numFmtId="176" formatCode="_-* #,##0.0\ _z_ł_-;\-* #,##0.0\ _z_ł_-;_-* &quot;-&quot;\ _z_ł_-;_-@_-"/>
    <numFmt numFmtId="177" formatCode="0.0000000"/>
    <numFmt numFmtId="178" formatCode="0.000000"/>
    <numFmt numFmtId="179" formatCode="0.00000"/>
    <numFmt numFmtId="180" formatCode="0.0000"/>
    <numFmt numFmtId="181" formatCode="_-* #,##0.00\ _z_ł_-;\-* #,##0.00\ _z_ł_-;_-* &quot;-&quot;\ _z_ł_-;_-@_-"/>
    <numFmt numFmtId="182" formatCode="_-* #,##0.0\ _z_ł_-;\-* #,##0.0\ _z_ł_-;_-* &quot;-&quot;?\ _z_ł_-;_-@_-"/>
    <numFmt numFmtId="183" formatCode="_-* #,##0\ _z_ł_-;\-* #,##0\ _z_ł_-;_-* &quot;-&quot;??\ _z_ł_-;_-@_-"/>
    <numFmt numFmtId="184" formatCode="#,##0.0\ _z_ł"/>
    <numFmt numFmtId="185" formatCode="_-* #,##0.000\ _z_ł_-;\-* #,##0.000\ _z_ł_-;_-* &quot;-&quot;\ _z_ł_-;_-@_-"/>
    <numFmt numFmtId="186" formatCode="#,##0.00\ _z_ł"/>
    <numFmt numFmtId="187" formatCode="#,##0\ _z_ł"/>
    <numFmt numFmtId="188" formatCode="0.00000000"/>
    <numFmt numFmtId="189" formatCode="#,##0.0"/>
    <numFmt numFmtId="190" formatCode="&quot;€&quot;#,##0;\-&quot;€&quot;#,##0"/>
    <numFmt numFmtId="191" formatCode="&quot;€&quot;#,##0;[Red]\-&quot;€&quot;#,##0"/>
    <numFmt numFmtId="192" formatCode="&quot;€&quot;#,##0.00;\-&quot;€&quot;#,##0.00"/>
    <numFmt numFmtId="193" formatCode="&quot;€&quot;#,##0.00;[Red]\-&quot;€&quot;#,##0.00"/>
    <numFmt numFmtId="194" formatCode="_-&quot;€&quot;* #,##0_-;\-&quot;€&quot;* #,##0_-;_-&quot;€&quot;* &quot;-&quot;_-;_-@_-"/>
    <numFmt numFmtId="195" formatCode="_-* #,##0_-;\-* #,##0_-;_-* &quot;-&quot;_-;_-@_-"/>
    <numFmt numFmtId="196" formatCode="_-&quot;€&quot;* #,##0.00_-;\-&quot;€&quot;* #,##0.00_-;_-&quot;€&quot;* &quot;-&quot;??_-;_-@_-"/>
    <numFmt numFmtId="197" formatCode="_-* #,##0.00_-;\-* #,##0.00_-;_-* &quot;-&quot;??_-;_-@_-"/>
    <numFmt numFmtId="198" formatCode="d\ mmmm\ yyyy"/>
    <numFmt numFmtId="199" formatCode="mmmm\ yy"/>
    <numFmt numFmtId="200" formatCode="mmm/yyyy"/>
    <numFmt numFmtId="201" formatCode="[$-415]d\ mmmm\ yyyy"/>
    <numFmt numFmtId="202" formatCode="#,##0_ ;\-#,##0\ "/>
    <numFmt numFmtId="203" formatCode="_-* #,##0.000\ _z_ł_-;\-* #,##0.000\ _z_ł_-;_-* &quot;-&quot;??\ _z_ł_-;_-@_-"/>
    <numFmt numFmtId="204" formatCode="_-* #,##0.0000\ _z_ł_-;\-* #,##0.0000\ _z_ł_-;_-* &quot;-&quot;??\ _z_ł_-;_-@_-"/>
    <numFmt numFmtId="205" formatCode="_-* #,##0.0\ _z_ł_-;\-* #,##0.0\ _z_ł_-;_-* &quot;-&quot;??\ _z_ł_-;_-@_-"/>
  </numFmts>
  <fonts count="68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S Sans Serif"/>
      <family val="0"/>
    </font>
    <font>
      <sz val="7"/>
      <color indexed="8"/>
      <name val="Arial"/>
      <family val="0"/>
    </font>
    <font>
      <b/>
      <sz val="7"/>
      <color indexed="8"/>
      <name val="Arial"/>
      <family val="0"/>
    </font>
    <font>
      <sz val="5"/>
      <color indexed="8"/>
      <name val="Arial"/>
      <family val="0"/>
    </font>
    <font>
      <b/>
      <sz val="12"/>
      <name val="Arial"/>
      <family val="2"/>
    </font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7"/>
      <name val="Arial"/>
      <family val="2"/>
    </font>
    <font>
      <b/>
      <sz val="5.5"/>
      <color indexed="8"/>
      <name val="Arial"/>
      <family val="0"/>
    </font>
    <font>
      <sz val="5.5"/>
      <color indexed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2"/>
    </font>
    <font>
      <b/>
      <sz val="14"/>
      <name val="Arial CE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8"/>
      <name val="Arial CE"/>
      <family val="2"/>
    </font>
    <font>
      <b/>
      <sz val="9"/>
      <name val="Arial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7"/>
      <name val="Arial CE"/>
      <family val="2"/>
    </font>
    <font>
      <i/>
      <sz val="11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sz val="11"/>
      <name val="Verdana"/>
      <family val="2"/>
    </font>
    <font>
      <sz val="8"/>
      <name val="Verdana"/>
      <family val="2"/>
    </font>
    <font>
      <b/>
      <sz val="11"/>
      <name val="Verdana"/>
      <family val="2"/>
    </font>
    <font>
      <sz val="9"/>
      <name val="Verdana"/>
      <family val="2"/>
    </font>
    <font>
      <sz val="9"/>
      <name val="Arial"/>
      <family val="2"/>
    </font>
    <font>
      <b/>
      <sz val="14"/>
      <name val="Arial"/>
      <family val="2"/>
    </font>
    <font>
      <b/>
      <sz val="12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i/>
      <sz val="10"/>
      <name val="Arial CE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0"/>
      <name val="Arial CE"/>
      <family val="2"/>
    </font>
    <font>
      <sz val="9"/>
      <name val="Arial CE"/>
      <family val="2"/>
    </font>
    <font>
      <vertAlign val="superscript"/>
      <sz val="10"/>
      <name val="Arial CE"/>
      <family val="2"/>
    </font>
    <font>
      <sz val="12"/>
      <name val="Arial"/>
      <family val="2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7.5"/>
      <color indexed="8"/>
      <name val="Arial"/>
      <family val="0"/>
    </font>
    <font>
      <b/>
      <sz val="7.5"/>
      <color indexed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 style="thin">
        <color indexed="8"/>
      </left>
      <right style="medium">
        <color indexed="8"/>
      </right>
      <top style="medium"/>
      <bottom style="thin"/>
    </border>
    <border>
      <left style="medium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 style="double">
        <color indexed="8"/>
      </top>
      <bottom style="thin"/>
    </border>
    <border>
      <left style="thin">
        <color indexed="8"/>
      </left>
      <right style="medium">
        <color indexed="8"/>
      </right>
      <top style="double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thin"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/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medium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/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</borders>
  <cellStyleXfs count="73">
    <xf numFmtId="0" fontId="8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4" borderId="0" applyNumberFormat="0" applyBorder="0" applyAlignment="0" applyProtection="0"/>
    <xf numFmtId="164" fontId="19" fillId="0" borderId="0" applyFill="0" applyBorder="0" applyAlignment="0" applyProtection="0"/>
    <xf numFmtId="41" fontId="8" fillId="0" borderId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21" borderId="4" applyNumberFormat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9" fontId="8" fillId="0" borderId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9" fillId="23" borderId="9" applyNumberFormat="0" applyAlignment="0" applyProtection="0"/>
    <xf numFmtId="44" fontId="8" fillId="0" borderId="0" applyFill="0" applyBorder="0" applyAlignment="0" applyProtection="0"/>
    <xf numFmtId="42" fontId="8" fillId="0" borderId="0" applyFill="0" applyBorder="0" applyAlignment="0" applyProtection="0"/>
    <xf numFmtId="0" fontId="32" fillId="3" borderId="0" applyNumberFormat="0" applyBorder="0" applyAlignment="0" applyProtection="0"/>
  </cellStyleXfs>
  <cellXfs count="614">
    <xf numFmtId="0" fontId="1" fillId="0" borderId="0" xfId="0" applyNumberFormat="1" applyFill="1" applyBorder="1" applyAlignment="1" applyProtection="1">
      <alignment horizontal="left"/>
      <protection locked="0"/>
    </xf>
    <xf numFmtId="1" fontId="1" fillId="24" borderId="0" xfId="0" applyAlignment="1">
      <alignment horizontal="center" vertical="center" wrapText="1" shrinkToFit="1"/>
    </xf>
    <xf numFmtId="0" fontId="6" fillId="25" borderId="10" xfId="0" applyBorder="1" applyAlignment="1">
      <alignment horizontal="left" vertical="center" wrapText="1" shrinkToFit="1"/>
    </xf>
    <xf numFmtId="0" fontId="13" fillId="25" borderId="11" xfId="0" applyFont="1" applyBorder="1" applyAlignment="1">
      <alignment horizontal="left" vertical="center" wrapText="1" shrinkToFit="1"/>
    </xf>
    <xf numFmtId="0" fontId="6" fillId="25" borderId="12" xfId="0" applyAlignment="1">
      <alignment horizontal="center" vertical="center" wrapText="1" shrinkToFit="1"/>
    </xf>
    <xf numFmtId="0" fontId="6" fillId="25" borderId="12" xfId="0" applyAlignment="1">
      <alignment horizontal="left" vertical="center" wrapText="1" shrinkToFit="1"/>
    </xf>
    <xf numFmtId="0" fontId="6" fillId="25" borderId="13" xfId="0" applyAlignment="1">
      <alignment horizontal="left" vertical="center" wrapText="1" shrinkToFit="1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0" fontId="13" fillId="25" borderId="12" xfId="0" applyFont="1" applyBorder="1" applyAlignment="1">
      <alignment horizontal="left" vertical="center" wrapText="1" shrinkToFit="1"/>
    </xf>
    <xf numFmtId="0" fontId="13" fillId="25" borderId="14" xfId="0" applyFont="1" applyBorder="1" applyAlignment="1">
      <alignment horizontal="left" vertical="center" wrapText="1" shrinkToFit="1"/>
    </xf>
    <xf numFmtId="0" fontId="6" fillId="25" borderId="12" xfId="0" applyFont="1" applyAlignment="1">
      <alignment horizontal="center" vertical="center" wrapText="1" shrinkToFit="1"/>
    </xf>
    <xf numFmtId="1" fontId="6" fillId="24" borderId="0" xfId="0" applyFont="1" applyAlignment="1">
      <alignment horizontal="center" vertical="center" wrapText="1" shrinkToFit="1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4" fontId="6" fillId="25" borderId="12" xfId="0" applyNumberFormat="1" applyAlignment="1">
      <alignment horizontal="right" vertical="center" wrapText="1" shrinkToFit="1"/>
    </xf>
    <xf numFmtId="4" fontId="6" fillId="25" borderId="13" xfId="0" applyNumberFormat="1" applyAlignment="1">
      <alignment horizontal="right" vertical="center" wrapText="1" shrinkToFit="1"/>
    </xf>
    <xf numFmtId="4" fontId="6" fillId="25" borderId="10" xfId="0" applyNumberFormat="1" applyBorder="1" applyAlignment="1">
      <alignment horizontal="right" vertical="center" wrapText="1" shrinkToFit="1"/>
    </xf>
    <xf numFmtId="4" fontId="12" fillId="24" borderId="11" xfId="0" applyNumberFormat="1" applyFont="1" applyBorder="1" applyAlignment="1">
      <alignment horizontal="right" vertical="center" wrapText="1" shrinkToFit="1"/>
    </xf>
    <xf numFmtId="4" fontId="12" fillId="24" borderId="12" xfId="0" applyNumberFormat="1" applyFont="1" applyBorder="1" applyAlignment="1">
      <alignment horizontal="right" vertical="center" wrapText="1" shrinkToFit="1"/>
    </xf>
    <xf numFmtId="4" fontId="12" fillId="24" borderId="14" xfId="0" applyNumberFormat="1" applyFont="1" applyBorder="1" applyAlignment="1">
      <alignment horizontal="right" vertical="center" wrapText="1" shrinkToFit="1"/>
    </xf>
    <xf numFmtId="0" fontId="34" fillId="0" borderId="0" xfId="60" applyFont="1" applyAlignment="1">
      <alignment vertical="center" wrapText="1"/>
      <protection/>
    </xf>
    <xf numFmtId="0" fontId="35" fillId="0" borderId="0" xfId="60" applyFont="1">
      <alignment/>
      <protection/>
    </xf>
    <xf numFmtId="0" fontId="36" fillId="0" borderId="0" xfId="60" applyFont="1">
      <alignment/>
      <protection/>
    </xf>
    <xf numFmtId="3" fontId="36" fillId="0" borderId="0" xfId="60" applyNumberFormat="1" applyFont="1">
      <alignment/>
      <protection/>
    </xf>
    <xf numFmtId="0" fontId="33" fillId="0" borderId="0" xfId="60" applyFont="1" applyAlignment="1">
      <alignment horizontal="center" vertical="center"/>
      <protection/>
    </xf>
    <xf numFmtId="0" fontId="37" fillId="0" borderId="0" xfId="60" applyFont="1" applyAlignment="1">
      <alignment textRotation="180"/>
      <protection/>
    </xf>
    <xf numFmtId="0" fontId="37" fillId="0" borderId="15" xfId="60" applyFont="1" applyFill="1" applyBorder="1" applyAlignment="1">
      <alignment horizontal="center" vertical="center" wrapText="1"/>
      <protection/>
    </xf>
    <xf numFmtId="0" fontId="37" fillId="0" borderId="0" xfId="60" applyFont="1" applyFill="1" applyAlignment="1">
      <alignment textRotation="180"/>
      <protection/>
    </xf>
    <xf numFmtId="0" fontId="36" fillId="0" borderId="0" xfId="60" applyFont="1" applyFill="1" applyAlignment="1">
      <alignment vertical="center" wrapText="1"/>
      <protection/>
    </xf>
    <xf numFmtId="0" fontId="37" fillId="0" borderId="16" xfId="60" applyFont="1" applyFill="1" applyBorder="1" applyAlignment="1">
      <alignment horizontal="center" vertical="center" wrapText="1"/>
      <protection/>
    </xf>
    <xf numFmtId="0" fontId="40" fillId="0" borderId="10" xfId="60" applyFont="1" applyFill="1" applyBorder="1" applyAlignment="1">
      <alignment horizontal="center" vertical="center" wrapText="1"/>
      <protection/>
    </xf>
    <xf numFmtId="0" fontId="40" fillId="0" borderId="17" xfId="60" applyFont="1" applyFill="1" applyBorder="1" applyAlignment="1">
      <alignment horizontal="center" vertical="center" wrapText="1"/>
      <protection/>
    </xf>
    <xf numFmtId="0" fontId="11" fillId="0" borderId="18" xfId="60" applyFont="1" applyFill="1" applyBorder="1" applyAlignment="1">
      <alignment horizontal="center" vertical="center" wrapText="1"/>
      <protection/>
    </xf>
    <xf numFmtId="0" fontId="11" fillId="0" borderId="10" xfId="60" applyFont="1" applyFill="1" applyBorder="1" applyAlignment="1">
      <alignment horizontal="center" vertical="center" wrapText="1"/>
      <protection/>
    </xf>
    <xf numFmtId="0" fontId="42" fillId="0" borderId="10" xfId="60" applyFont="1" applyFill="1" applyBorder="1" applyAlignment="1">
      <alignment horizontal="center" vertical="center" wrapText="1"/>
      <protection/>
    </xf>
    <xf numFmtId="0" fontId="42" fillId="0" borderId="19" xfId="60" applyFont="1" applyFill="1" applyBorder="1" applyAlignment="1">
      <alignment horizontal="center" vertical="center" wrapText="1"/>
      <protection/>
    </xf>
    <xf numFmtId="0" fontId="11" fillId="0" borderId="0" xfId="60" applyFont="1" applyFill="1" applyAlignment="1">
      <alignment horizontal="center" textRotation="180"/>
      <protection/>
    </xf>
    <xf numFmtId="0" fontId="11" fillId="0" borderId="0" xfId="60" applyFont="1" applyFill="1" applyAlignment="1">
      <alignment horizontal="center" vertical="center" wrapText="1"/>
      <protection/>
    </xf>
    <xf numFmtId="3" fontId="37" fillId="0" borderId="20" xfId="60" applyNumberFormat="1" applyFont="1" applyFill="1" applyBorder="1" applyAlignment="1">
      <alignment vertical="center" wrapText="1"/>
      <protection/>
    </xf>
    <xf numFmtId="3" fontId="37" fillId="0" borderId="21" xfId="60" applyNumberFormat="1" applyFont="1" applyFill="1" applyBorder="1" applyAlignment="1">
      <alignment vertical="center" wrapText="1"/>
      <protection/>
    </xf>
    <xf numFmtId="3" fontId="8" fillId="0" borderId="22" xfId="60" applyNumberFormat="1" applyFont="1" applyFill="1" applyBorder="1" applyAlignment="1">
      <alignment horizontal="center" vertical="center" wrapText="1"/>
      <protection/>
    </xf>
    <xf numFmtId="3" fontId="43" fillId="0" borderId="23" xfId="60" applyNumberFormat="1" applyFont="1" applyFill="1" applyBorder="1" applyAlignment="1">
      <alignment vertical="center" wrapText="1"/>
      <protection/>
    </xf>
    <xf numFmtId="3" fontId="43" fillId="0" borderId="24" xfId="60" applyNumberFormat="1" applyFont="1" applyFill="1" applyBorder="1" applyAlignment="1">
      <alignment vertical="center" wrapText="1"/>
      <protection/>
    </xf>
    <xf numFmtId="3" fontId="8" fillId="0" borderId="25" xfId="60" applyNumberFormat="1" applyFont="1" applyFill="1" applyBorder="1" applyAlignment="1">
      <alignment horizontal="center" vertical="center" wrapText="1"/>
      <protection/>
    </xf>
    <xf numFmtId="0" fontId="8" fillId="0" borderId="26" xfId="60" applyFont="1" applyFill="1" applyBorder="1" applyAlignment="1">
      <alignment horizontal="center" vertical="center" wrapText="1"/>
      <protection/>
    </xf>
    <xf numFmtId="0" fontId="8" fillId="0" borderId="27" xfId="60" applyFont="1" applyFill="1" applyBorder="1" applyAlignment="1">
      <alignment horizontal="left" vertical="center" wrapText="1"/>
      <protection/>
    </xf>
    <xf numFmtId="3" fontId="36" fillId="0" borderId="12" xfId="60" applyNumberFormat="1" applyFont="1" applyFill="1" applyBorder="1" applyAlignment="1">
      <alignment vertical="center" wrapText="1"/>
      <protection/>
    </xf>
    <xf numFmtId="3" fontId="36" fillId="0" borderId="27" xfId="60" applyNumberFormat="1" applyFont="1" applyFill="1" applyBorder="1" applyAlignment="1">
      <alignment vertical="center" wrapText="1"/>
      <protection/>
    </xf>
    <xf numFmtId="3" fontId="36" fillId="0" borderId="28" xfId="60" applyNumberFormat="1" applyFont="1" applyFill="1" applyBorder="1" applyAlignment="1">
      <alignment vertical="center" wrapText="1"/>
      <protection/>
    </xf>
    <xf numFmtId="3" fontId="44" fillId="0" borderId="27" xfId="61" applyNumberFormat="1" applyFont="1" applyFill="1" applyBorder="1" applyAlignment="1">
      <alignment horizontal="center" vertical="center" wrapText="1"/>
      <protection/>
    </xf>
    <xf numFmtId="3" fontId="8" fillId="0" borderId="29" xfId="60" applyNumberFormat="1" applyFont="1" applyFill="1" applyBorder="1" applyAlignment="1">
      <alignment horizontal="center" vertical="center" wrapText="1"/>
      <protection/>
    </xf>
    <xf numFmtId="0" fontId="8" fillId="0" borderId="12" xfId="61" applyFont="1" applyFill="1" applyBorder="1" applyAlignment="1">
      <alignment vertical="center" wrapText="1"/>
      <protection/>
    </xf>
    <xf numFmtId="3" fontId="44" fillId="0" borderId="27" xfId="60" applyNumberFormat="1" applyFont="1" applyFill="1" applyBorder="1" applyAlignment="1">
      <alignment horizontal="center" vertical="center" wrapText="1"/>
      <protection/>
    </xf>
    <xf numFmtId="3" fontId="9" fillId="0" borderId="27" xfId="60" applyNumberFormat="1" applyFont="1" applyFill="1" applyBorder="1" applyAlignment="1">
      <alignment horizontal="center" vertical="center" wrapText="1"/>
      <protection/>
    </xf>
    <xf numFmtId="3" fontId="8" fillId="0" borderId="30" xfId="60" applyNumberFormat="1" applyFont="1" applyFill="1" applyBorder="1" applyAlignment="1">
      <alignment horizontal="center" vertical="center" wrapText="1"/>
      <protection/>
    </xf>
    <xf numFmtId="0" fontId="8" fillId="0" borderId="12" xfId="60" applyFont="1" applyFill="1" applyBorder="1" applyAlignment="1">
      <alignment vertical="center" wrapText="1"/>
      <protection/>
    </xf>
    <xf numFmtId="0" fontId="8" fillId="0" borderId="31" xfId="60" applyFont="1" applyFill="1" applyBorder="1" applyAlignment="1">
      <alignment vertical="center" wrapText="1"/>
      <protection/>
    </xf>
    <xf numFmtId="3" fontId="36" fillId="0" borderId="31" xfId="60" applyNumberFormat="1" applyFont="1" applyFill="1" applyBorder="1" applyAlignment="1">
      <alignment vertical="center" wrapText="1"/>
      <protection/>
    </xf>
    <xf numFmtId="3" fontId="36" fillId="0" borderId="32" xfId="60" applyNumberFormat="1" applyFont="1" applyFill="1" applyBorder="1" applyAlignment="1">
      <alignment vertical="center" wrapText="1"/>
      <protection/>
    </xf>
    <xf numFmtId="3" fontId="8" fillId="0" borderId="19" xfId="60" applyNumberFormat="1" applyFont="1" applyFill="1" applyBorder="1" applyAlignment="1">
      <alignment horizontal="center" vertical="center" wrapText="1"/>
      <protection/>
    </xf>
    <xf numFmtId="0" fontId="8" fillId="0" borderId="33" xfId="61" applyFont="1" applyFill="1" applyBorder="1" applyAlignment="1">
      <alignment horizontal="center" vertical="center" wrapText="1"/>
      <protection/>
    </xf>
    <xf numFmtId="0" fontId="8" fillId="0" borderId="34" xfId="61" applyFont="1" applyFill="1" applyBorder="1" applyAlignment="1">
      <alignment horizontal="left" vertical="center" wrapText="1"/>
      <protection/>
    </xf>
    <xf numFmtId="3" fontId="36" fillId="0" borderId="34" xfId="61" applyNumberFormat="1" applyFont="1" applyFill="1" applyBorder="1" applyAlignment="1">
      <alignment vertical="center" wrapText="1"/>
      <protection/>
    </xf>
    <xf numFmtId="3" fontId="46" fillId="0" borderId="34" xfId="61" applyNumberFormat="1" applyFont="1" applyFill="1" applyBorder="1" applyAlignment="1">
      <alignment vertical="center" wrapText="1"/>
      <protection/>
    </xf>
    <xf numFmtId="0" fontId="37" fillId="0" borderId="0" xfId="61" applyFont="1" applyFill="1" applyAlignment="1">
      <alignment textRotation="180"/>
      <protection/>
    </xf>
    <xf numFmtId="0" fontId="36" fillId="0" borderId="0" xfId="61" applyFont="1" applyFill="1" applyAlignment="1">
      <alignment vertical="center" wrapText="1"/>
      <protection/>
    </xf>
    <xf numFmtId="0" fontId="8" fillId="0" borderId="35" xfId="61" applyFont="1" applyFill="1" applyBorder="1" applyAlignment="1">
      <alignment horizontal="center" vertical="center" wrapText="1"/>
      <protection/>
    </xf>
    <xf numFmtId="0" fontId="8" fillId="0" borderId="36" xfId="61" applyFont="1" applyFill="1" applyBorder="1" applyAlignment="1">
      <alignment horizontal="left" vertical="center" wrapText="1"/>
      <protection/>
    </xf>
    <xf numFmtId="3" fontId="36" fillId="0" borderId="31" xfId="61" applyNumberFormat="1" applyFont="1" applyFill="1" applyBorder="1" applyAlignment="1">
      <alignment vertical="center" wrapText="1"/>
      <protection/>
    </xf>
    <xf numFmtId="3" fontId="46" fillId="0" borderId="36" xfId="61" applyNumberFormat="1" applyFont="1" applyFill="1" applyBorder="1" applyAlignment="1">
      <alignment vertical="center" wrapText="1"/>
      <protection/>
    </xf>
    <xf numFmtId="3" fontId="36" fillId="0" borderId="36" xfId="61" applyNumberFormat="1" applyFont="1" applyFill="1" applyBorder="1" applyAlignment="1">
      <alignment vertical="center" wrapText="1"/>
      <protection/>
    </xf>
    <xf numFmtId="3" fontId="8" fillId="0" borderId="37" xfId="60" applyNumberFormat="1" applyFont="1" applyFill="1" applyBorder="1" applyAlignment="1">
      <alignment horizontal="center" vertical="center" wrapText="1"/>
      <protection/>
    </xf>
    <xf numFmtId="3" fontId="44" fillId="0" borderId="27" xfId="61" applyNumberFormat="1" applyFont="1" applyFill="1" applyBorder="1" applyAlignment="1">
      <alignment vertical="center" wrapText="1"/>
      <protection/>
    </xf>
    <xf numFmtId="3" fontId="37" fillId="0" borderId="38" xfId="60" applyNumberFormat="1" applyFont="1" applyFill="1" applyBorder="1" applyAlignment="1">
      <alignment vertical="center" wrapText="1"/>
      <protection/>
    </xf>
    <xf numFmtId="3" fontId="37" fillId="0" borderId="39" xfId="60" applyNumberFormat="1" applyFont="1" applyFill="1" applyBorder="1" applyAlignment="1">
      <alignment vertical="center" wrapText="1"/>
      <protection/>
    </xf>
    <xf numFmtId="3" fontId="8" fillId="0" borderId="40" xfId="60" applyNumberFormat="1" applyFont="1" applyFill="1" applyBorder="1" applyAlignment="1">
      <alignment horizontal="center" vertical="center" wrapText="1"/>
      <protection/>
    </xf>
    <xf numFmtId="0" fontId="8" fillId="0" borderId="26" xfId="61" applyFont="1" applyFill="1" applyBorder="1" applyAlignment="1">
      <alignment horizontal="center" vertical="center" wrapText="1"/>
      <protection/>
    </xf>
    <xf numFmtId="0" fontId="8" fillId="0" borderId="27" xfId="61" applyFont="1" applyFill="1" applyBorder="1" applyAlignment="1">
      <alignment horizontal="left" vertical="center" wrapText="1"/>
      <protection/>
    </xf>
    <xf numFmtId="3" fontId="36" fillId="0" borderId="12" xfId="61" applyNumberFormat="1" applyFont="1" applyFill="1" applyBorder="1" applyAlignment="1">
      <alignment vertical="center" wrapText="1"/>
      <protection/>
    </xf>
    <xf numFmtId="3" fontId="46" fillId="0" borderId="27" xfId="61" applyNumberFormat="1" applyFont="1" applyFill="1" applyBorder="1" applyAlignment="1">
      <alignment vertical="center" wrapText="1"/>
      <protection/>
    </xf>
    <xf numFmtId="3" fontId="36" fillId="0" borderId="27" xfId="61" applyNumberFormat="1" applyFont="1" applyFill="1" applyBorder="1" applyAlignment="1">
      <alignment vertical="center" wrapText="1"/>
      <protection/>
    </xf>
    <xf numFmtId="3" fontId="44" fillId="0" borderId="41" xfId="61" applyNumberFormat="1" applyFont="1" applyFill="1" applyBorder="1" applyAlignment="1">
      <alignment vertical="center" wrapText="1"/>
      <protection/>
    </xf>
    <xf numFmtId="3" fontId="44" fillId="0" borderId="12" xfId="61" applyNumberFormat="1" applyFont="1" applyFill="1" applyBorder="1" applyAlignment="1">
      <alignment vertical="center" wrapText="1"/>
      <protection/>
    </xf>
    <xf numFmtId="0" fontId="11" fillId="0" borderId="42" xfId="60" applyFont="1" applyFill="1" applyBorder="1" applyAlignment="1">
      <alignment horizontal="center" vertical="center" wrapText="1"/>
      <protection/>
    </xf>
    <xf numFmtId="0" fontId="11" fillId="0" borderId="31" xfId="60" applyFont="1" applyFill="1" applyBorder="1" applyAlignment="1">
      <alignment horizontal="center" vertical="center" wrapText="1"/>
      <protection/>
    </xf>
    <xf numFmtId="0" fontId="42" fillId="0" borderId="31" xfId="60" applyFont="1" applyFill="1" applyBorder="1" applyAlignment="1">
      <alignment horizontal="center" vertical="center" wrapText="1"/>
      <protection/>
    </xf>
    <xf numFmtId="0" fontId="42" fillId="0" borderId="43" xfId="60" applyFont="1" applyFill="1" applyBorder="1" applyAlignment="1">
      <alignment horizontal="center" vertical="center" wrapText="1"/>
      <protection/>
    </xf>
    <xf numFmtId="0" fontId="8" fillId="0" borderId="44" xfId="61" applyFont="1" applyFill="1" applyBorder="1" applyAlignment="1">
      <alignment horizontal="center" vertical="center" wrapText="1"/>
      <protection/>
    </xf>
    <xf numFmtId="3" fontId="44" fillId="0" borderId="36" xfId="61" applyNumberFormat="1" applyFont="1" applyFill="1" applyBorder="1" applyAlignment="1">
      <alignment vertical="center" wrapText="1"/>
      <protection/>
    </xf>
    <xf numFmtId="3" fontId="43" fillId="0" borderId="45" xfId="60" applyNumberFormat="1" applyFont="1" applyFill="1" applyBorder="1" applyAlignment="1">
      <alignment vertical="center" wrapText="1"/>
      <protection/>
    </xf>
    <xf numFmtId="3" fontId="43" fillId="0" borderId="46" xfId="60" applyNumberFormat="1" applyFont="1" applyFill="1" applyBorder="1" applyAlignment="1">
      <alignment vertical="center" wrapText="1"/>
      <protection/>
    </xf>
    <xf numFmtId="3" fontId="8" fillId="0" borderId="47" xfId="60" applyNumberFormat="1" applyFont="1" applyFill="1" applyBorder="1" applyAlignment="1">
      <alignment horizontal="center" vertical="center" wrapText="1"/>
      <protection/>
    </xf>
    <xf numFmtId="0" fontId="8" fillId="0" borderId="48" xfId="60" applyFont="1" applyFill="1" applyBorder="1" applyAlignment="1">
      <alignment horizontal="center" vertical="center" wrapText="1"/>
      <protection/>
    </xf>
    <xf numFmtId="0" fontId="8" fillId="0" borderId="49" xfId="60" applyFont="1" applyFill="1" applyBorder="1" applyAlignment="1">
      <alignment horizontal="left" vertical="center" wrapText="1"/>
      <protection/>
    </xf>
    <xf numFmtId="3" fontId="36" fillId="0" borderId="49" xfId="60" applyNumberFormat="1" applyFont="1" applyFill="1" applyBorder="1" applyAlignment="1">
      <alignment vertical="center" wrapText="1"/>
      <protection/>
    </xf>
    <xf numFmtId="3" fontId="36" fillId="0" borderId="50" xfId="60" applyNumberFormat="1" applyFont="1" applyFill="1" applyBorder="1" applyAlignment="1">
      <alignment vertical="center" wrapText="1"/>
      <protection/>
    </xf>
    <xf numFmtId="3" fontId="44" fillId="0" borderId="49" xfId="61" applyNumberFormat="1" applyFont="1" applyFill="1" applyBorder="1" applyAlignment="1">
      <alignment vertical="center" wrapText="1"/>
      <protection/>
    </xf>
    <xf numFmtId="3" fontId="8" fillId="0" borderId="51" xfId="60" applyNumberFormat="1" applyFont="1" applyFill="1" applyBorder="1" applyAlignment="1">
      <alignment horizontal="center" vertical="center" wrapText="1"/>
      <protection/>
    </xf>
    <xf numFmtId="4" fontId="37" fillId="0" borderId="20" xfId="56" applyNumberFormat="1" applyFont="1" applyFill="1" applyBorder="1" applyAlignment="1">
      <alignment vertical="center" wrapText="1"/>
      <protection/>
    </xf>
    <xf numFmtId="3" fontId="37" fillId="0" borderId="20" xfId="56" applyNumberFormat="1" applyFont="1" applyFill="1" applyBorder="1" applyAlignment="1">
      <alignment vertical="center" wrapText="1"/>
      <protection/>
    </xf>
    <xf numFmtId="0" fontId="8" fillId="0" borderId="22" xfId="60" applyFont="1" applyFill="1" applyBorder="1" applyAlignment="1">
      <alignment horizontal="center" vertical="center" wrapText="1"/>
      <protection/>
    </xf>
    <xf numFmtId="0" fontId="37" fillId="0" borderId="0" xfId="56" applyFont="1" applyFill="1" applyAlignment="1">
      <alignment textRotation="180"/>
      <protection/>
    </xf>
    <xf numFmtId="0" fontId="36" fillId="0" borderId="0" xfId="56" applyFont="1" applyFill="1" applyAlignment="1">
      <alignment vertical="center" wrapText="1"/>
      <protection/>
    </xf>
    <xf numFmtId="4" fontId="43" fillId="0" borderId="23" xfId="56" applyNumberFormat="1" applyFont="1" applyFill="1" applyBorder="1" applyAlignment="1">
      <alignment vertical="center" wrapText="1"/>
      <protection/>
    </xf>
    <xf numFmtId="3" fontId="43" fillId="0" borderId="23" xfId="56" applyNumberFormat="1" applyFont="1" applyFill="1" applyBorder="1" applyAlignment="1">
      <alignment vertical="center" wrapText="1"/>
      <protection/>
    </xf>
    <xf numFmtId="0" fontId="8" fillId="0" borderId="25" xfId="60" applyFont="1" applyFill="1" applyBorder="1" applyAlignment="1">
      <alignment horizontal="center" vertical="center" wrapText="1"/>
      <protection/>
    </xf>
    <xf numFmtId="0" fontId="36" fillId="0" borderId="52" xfId="60" applyFont="1" applyFill="1" applyBorder="1" applyAlignment="1">
      <alignment horizontal="center" vertical="center" wrapText="1"/>
      <protection/>
    </xf>
    <xf numFmtId="0" fontId="8" fillId="0" borderId="41" xfId="60" applyFont="1" applyFill="1" applyBorder="1" applyAlignment="1">
      <alignment vertical="center" wrapText="1"/>
      <protection/>
    </xf>
    <xf numFmtId="3" fontId="36" fillId="0" borderId="41" xfId="60" applyNumberFormat="1" applyFont="1" applyFill="1" applyBorder="1" applyAlignment="1">
      <alignment vertical="center" wrapText="1"/>
      <protection/>
    </xf>
    <xf numFmtId="3" fontId="8" fillId="0" borderId="53" xfId="60" applyNumberFormat="1" applyFont="1" applyFill="1" applyBorder="1" applyAlignment="1">
      <alignment horizontal="center" vertical="center" wrapText="1"/>
      <protection/>
    </xf>
    <xf numFmtId="0" fontId="36" fillId="0" borderId="26" xfId="60" applyFont="1" applyFill="1" applyBorder="1" applyAlignment="1">
      <alignment horizontal="center" vertical="center" wrapText="1"/>
      <protection/>
    </xf>
    <xf numFmtId="0" fontId="8" fillId="0" borderId="27" xfId="60" applyFont="1" applyFill="1" applyBorder="1" applyAlignment="1">
      <alignment vertical="center" wrapText="1"/>
      <protection/>
    </xf>
    <xf numFmtId="3" fontId="36" fillId="0" borderId="54" xfId="60" applyNumberFormat="1" applyFont="1" applyFill="1" applyBorder="1" applyAlignment="1">
      <alignment vertical="center" wrapText="1"/>
      <protection/>
    </xf>
    <xf numFmtId="3" fontId="8" fillId="0" borderId="55" xfId="60" applyNumberFormat="1" applyFont="1" applyFill="1" applyBorder="1" applyAlignment="1">
      <alignment horizontal="center" vertical="center" wrapText="1"/>
      <protection/>
    </xf>
    <xf numFmtId="3" fontId="36" fillId="0" borderId="36" xfId="60" applyNumberFormat="1" applyFont="1" applyFill="1" applyBorder="1" applyAlignment="1">
      <alignment vertical="center" wrapText="1"/>
      <protection/>
    </xf>
    <xf numFmtId="4" fontId="36" fillId="0" borderId="36" xfId="60" applyNumberFormat="1" applyFont="1" applyFill="1" applyBorder="1" applyAlignment="1">
      <alignment vertical="center" wrapText="1"/>
      <protection/>
    </xf>
    <xf numFmtId="4" fontId="36" fillId="0" borderId="27" xfId="60" applyNumberFormat="1" applyFont="1" applyFill="1" applyBorder="1" applyAlignment="1">
      <alignment vertical="center" wrapText="1"/>
      <protection/>
    </xf>
    <xf numFmtId="0" fontId="36" fillId="0" borderId="56" xfId="60" applyFont="1" applyFill="1" applyBorder="1" applyAlignment="1">
      <alignment horizontal="center" vertical="center" wrapText="1"/>
      <protection/>
    </xf>
    <xf numFmtId="0" fontId="8" fillId="0" borderId="57" xfId="60" applyFont="1" applyFill="1" applyBorder="1" applyAlignment="1">
      <alignment vertical="center" wrapText="1"/>
      <protection/>
    </xf>
    <xf numFmtId="3" fontId="9" fillId="0" borderId="27" xfId="61" applyNumberFormat="1" applyFont="1" applyFill="1" applyBorder="1" applyAlignment="1">
      <alignment horizontal="left" vertical="center" wrapText="1"/>
      <protection/>
    </xf>
    <xf numFmtId="0" fontId="36" fillId="0" borderId="33" xfId="60" applyFont="1" applyFill="1" applyBorder="1" applyAlignment="1">
      <alignment horizontal="center" vertical="center" wrapText="1"/>
      <protection/>
    </xf>
    <xf numFmtId="0" fontId="8" fillId="0" borderId="34" xfId="60" applyFont="1" applyFill="1" applyBorder="1" applyAlignment="1">
      <alignment vertical="center" wrapText="1"/>
      <protection/>
    </xf>
    <xf numFmtId="3" fontId="36" fillId="0" borderId="34" xfId="60" applyNumberFormat="1" applyFont="1" applyFill="1" applyBorder="1" applyAlignment="1">
      <alignment vertical="center" wrapText="1"/>
      <protection/>
    </xf>
    <xf numFmtId="3" fontId="9" fillId="0" borderId="34" xfId="60" applyNumberFormat="1" applyFont="1" applyFill="1" applyBorder="1" applyAlignment="1">
      <alignment vertical="center" wrapText="1"/>
      <protection/>
    </xf>
    <xf numFmtId="3" fontId="9" fillId="0" borderId="27" xfId="60" applyNumberFormat="1" applyFont="1" applyFill="1" applyBorder="1" applyAlignment="1">
      <alignment vertical="center" wrapText="1"/>
      <protection/>
    </xf>
    <xf numFmtId="0" fontId="8" fillId="0" borderId="40" xfId="60" applyFont="1" applyFill="1" applyBorder="1" applyAlignment="1">
      <alignment horizontal="center" vertical="center" wrapText="1"/>
      <protection/>
    </xf>
    <xf numFmtId="3" fontId="43" fillId="0" borderId="23" xfId="61" applyNumberFormat="1" applyFont="1" applyFill="1" applyBorder="1" applyAlignment="1">
      <alignment vertical="center" wrapText="1"/>
      <protection/>
    </xf>
    <xf numFmtId="3" fontId="43" fillId="0" borderId="58" xfId="61" applyNumberFormat="1" applyFont="1" applyFill="1" applyBorder="1" applyAlignment="1">
      <alignment vertical="center" wrapText="1"/>
      <protection/>
    </xf>
    <xf numFmtId="3" fontId="43" fillId="0" borderId="59" xfId="61" applyNumberFormat="1" applyFont="1" applyFill="1" applyBorder="1" applyAlignment="1">
      <alignment horizontal="center" vertical="center" wrapText="1"/>
      <protection/>
    </xf>
    <xf numFmtId="0" fontId="8" fillId="0" borderId="52" xfId="61" applyFont="1" applyFill="1" applyBorder="1" applyAlignment="1">
      <alignment horizontal="center" vertical="center" wrapText="1"/>
      <protection/>
    </xf>
    <xf numFmtId="0" fontId="8" fillId="0" borderId="41" xfId="61" applyFont="1" applyFill="1" applyBorder="1" applyAlignment="1">
      <alignment vertical="center" wrapText="1"/>
      <protection/>
    </xf>
    <xf numFmtId="3" fontId="36" fillId="0" borderId="41" xfId="61" applyNumberFormat="1" applyFont="1" applyFill="1" applyBorder="1" applyAlignment="1">
      <alignment vertical="center" wrapText="1"/>
      <protection/>
    </xf>
    <xf numFmtId="3" fontId="36" fillId="0" borderId="60" xfId="61" applyNumberFormat="1" applyFont="1" applyFill="1" applyBorder="1" applyAlignment="1">
      <alignment vertical="center" wrapText="1"/>
      <protection/>
    </xf>
    <xf numFmtId="3" fontId="9" fillId="0" borderId="41" xfId="61" applyNumberFormat="1" applyFont="1" applyFill="1" applyBorder="1" applyAlignment="1">
      <alignment horizontal="left" vertical="center" wrapText="1"/>
      <protection/>
    </xf>
    <xf numFmtId="0" fontId="8" fillId="0" borderId="53" xfId="61" applyFont="1" applyFill="1" applyBorder="1" applyAlignment="1">
      <alignment horizontal="center" vertical="center" wrapText="1"/>
      <protection/>
    </xf>
    <xf numFmtId="0" fontId="36" fillId="0" borderId="0" xfId="61" applyFont="1" applyFill="1" applyBorder="1" applyAlignment="1">
      <alignment vertical="center" wrapText="1"/>
      <protection/>
    </xf>
    <xf numFmtId="3" fontId="43" fillId="0" borderId="58" xfId="60" applyNumberFormat="1" applyFont="1" applyFill="1" applyBorder="1" applyAlignment="1">
      <alignment vertical="center" wrapText="1"/>
      <protection/>
    </xf>
    <xf numFmtId="3" fontId="43" fillId="0" borderId="61" xfId="60" applyNumberFormat="1" applyFont="1" applyFill="1" applyBorder="1" applyAlignment="1">
      <alignment vertical="center" wrapText="1"/>
      <protection/>
    </xf>
    <xf numFmtId="3" fontId="43" fillId="0" borderId="59" xfId="60" applyNumberFormat="1" applyFont="1" applyFill="1" applyBorder="1" applyAlignment="1">
      <alignment horizontal="center" vertical="center" wrapText="1"/>
      <protection/>
    </xf>
    <xf numFmtId="3" fontId="9" fillId="0" borderId="27" xfId="60" applyNumberFormat="1" applyFont="1" applyFill="1" applyBorder="1" applyAlignment="1">
      <alignment horizontal="left" vertical="center" wrapText="1"/>
      <protection/>
    </xf>
    <xf numFmtId="3" fontId="37" fillId="0" borderId="38" xfId="56" applyNumberFormat="1" applyFont="1" applyFill="1" applyBorder="1" applyAlignment="1">
      <alignment vertical="center" wrapText="1"/>
      <protection/>
    </xf>
    <xf numFmtId="3" fontId="43" fillId="0" borderId="58" xfId="56" applyNumberFormat="1" applyFont="1" applyFill="1" applyBorder="1" applyAlignment="1">
      <alignment vertical="center" wrapText="1"/>
      <protection/>
    </xf>
    <xf numFmtId="0" fontId="8" fillId="0" borderId="59" xfId="60" applyFont="1" applyFill="1" applyBorder="1" applyAlignment="1">
      <alignment horizontal="center" vertical="center" wrapText="1"/>
      <protection/>
    </xf>
    <xf numFmtId="0" fontId="8" fillId="0" borderId="62" xfId="60" applyFont="1" applyFill="1" applyBorder="1" applyAlignment="1">
      <alignment horizontal="center" vertical="center" wrapText="1"/>
      <protection/>
    </xf>
    <xf numFmtId="3" fontId="9" fillId="0" borderId="12" xfId="60" applyNumberFormat="1" applyFont="1" applyFill="1" applyBorder="1" applyAlignment="1">
      <alignment vertical="center" wrapText="1"/>
      <protection/>
    </xf>
    <xf numFmtId="0" fontId="8" fillId="0" borderId="29" xfId="61" applyFont="1" applyFill="1" applyBorder="1" applyAlignment="1">
      <alignment horizontal="center" vertical="center" wrapText="1"/>
      <protection/>
    </xf>
    <xf numFmtId="0" fontId="8" fillId="0" borderId="33" xfId="56" applyFont="1" applyFill="1" applyBorder="1" applyAlignment="1">
      <alignment horizontal="center" vertical="center" wrapText="1"/>
      <protection/>
    </xf>
    <xf numFmtId="3" fontId="8" fillId="0" borderId="34" xfId="56" applyNumberFormat="1" applyFont="1" applyFill="1" applyBorder="1" applyAlignment="1">
      <alignment horizontal="right" vertical="center" wrapText="1"/>
      <protection/>
    </xf>
    <xf numFmtId="3" fontId="36" fillId="0" borderId="34" xfId="56" applyNumberFormat="1" applyFont="1" applyFill="1" applyBorder="1" applyAlignment="1">
      <alignment horizontal="right" vertical="center" wrapText="1"/>
      <protection/>
    </xf>
    <xf numFmtId="3" fontId="8" fillId="0" borderId="34" xfId="56" applyNumberFormat="1" applyFont="1" applyFill="1" applyBorder="1" applyAlignment="1">
      <alignment horizontal="center" vertical="center" wrapText="1"/>
      <protection/>
    </xf>
    <xf numFmtId="0" fontId="8" fillId="0" borderId="63" xfId="60" applyFont="1" applyFill="1" applyBorder="1" applyAlignment="1">
      <alignment horizontal="center" vertical="center" wrapText="1"/>
      <protection/>
    </xf>
    <xf numFmtId="0" fontId="8" fillId="0" borderId="17" xfId="60" applyFont="1" applyFill="1" applyBorder="1" applyAlignment="1">
      <alignment vertical="center" wrapText="1"/>
      <protection/>
    </xf>
    <xf numFmtId="3" fontId="36" fillId="0" borderId="17" xfId="60" applyNumberFormat="1" applyFont="1" applyFill="1" applyBorder="1" applyAlignment="1">
      <alignment vertical="center" wrapText="1"/>
      <protection/>
    </xf>
    <xf numFmtId="3" fontId="9" fillId="0" borderId="17" xfId="60" applyNumberFormat="1" applyFont="1" applyFill="1" applyBorder="1" applyAlignment="1">
      <alignment vertical="center" wrapText="1"/>
      <protection/>
    </xf>
    <xf numFmtId="3" fontId="43" fillId="0" borderId="25" xfId="60" applyNumberFormat="1" applyFont="1" applyFill="1" applyBorder="1" applyAlignment="1">
      <alignment horizontal="center" vertical="center" wrapText="1"/>
      <protection/>
    </xf>
    <xf numFmtId="0" fontId="8" fillId="0" borderId="52" xfId="60" applyFont="1" applyFill="1" applyBorder="1" applyAlignment="1">
      <alignment horizontal="center" vertical="center" wrapText="1"/>
      <protection/>
    </xf>
    <xf numFmtId="0" fontId="8" fillId="0" borderId="35" xfId="60" applyFont="1" applyFill="1" applyBorder="1" applyAlignment="1">
      <alignment horizontal="center" vertical="center" wrapText="1"/>
      <protection/>
    </xf>
    <xf numFmtId="3" fontId="9" fillId="0" borderId="36" xfId="61" applyNumberFormat="1" applyFont="1" applyFill="1" applyBorder="1" applyAlignment="1">
      <alignment horizontal="left" vertical="center" wrapText="1"/>
      <protection/>
    </xf>
    <xf numFmtId="0" fontId="8" fillId="0" borderId="37" xfId="61" applyFont="1" applyFill="1" applyBorder="1" applyAlignment="1">
      <alignment horizontal="center" vertical="center" wrapText="1"/>
      <protection/>
    </xf>
    <xf numFmtId="0" fontId="8" fillId="0" borderId="64" xfId="59" applyFont="1" applyFill="1" applyBorder="1" applyAlignment="1">
      <alignment vertical="center" wrapText="1"/>
      <protection/>
    </xf>
    <xf numFmtId="3" fontId="8" fillId="0" borderId="65" xfId="60" applyNumberFormat="1" applyFont="1" applyFill="1" applyBorder="1" applyAlignment="1">
      <alignment horizontal="center" vertical="center" wrapText="1"/>
      <protection/>
    </xf>
    <xf numFmtId="0" fontId="37" fillId="0" borderId="66" xfId="60" applyFont="1" applyFill="1" applyBorder="1" applyAlignment="1">
      <alignment vertical="center" wrapText="1"/>
      <protection/>
    </xf>
    <xf numFmtId="0" fontId="37" fillId="0" borderId="67" xfId="60" applyFont="1" applyFill="1" applyBorder="1" applyAlignment="1">
      <alignment horizontal="center" vertical="center" wrapText="1"/>
      <protection/>
    </xf>
    <xf numFmtId="4" fontId="37" fillId="0" borderId="67" xfId="60" applyNumberFormat="1" applyFont="1" applyFill="1" applyBorder="1" applyAlignment="1">
      <alignment vertical="center" wrapText="1"/>
      <protection/>
    </xf>
    <xf numFmtId="3" fontId="37" fillId="0" borderId="67" xfId="60" applyNumberFormat="1" applyFont="1" applyFill="1" applyBorder="1" applyAlignment="1">
      <alignment vertical="center" wrapText="1"/>
      <protection/>
    </xf>
    <xf numFmtId="3" fontId="37" fillId="0" borderId="40" xfId="60" applyNumberFormat="1" applyFont="1" applyFill="1" applyBorder="1" applyAlignment="1">
      <alignment horizontal="center" vertical="center" wrapText="1"/>
      <protection/>
    </xf>
    <xf numFmtId="0" fontId="47" fillId="0" borderId="0" xfId="60" applyFont="1" applyFill="1" applyAlignment="1">
      <alignment vertical="top"/>
      <protection/>
    </xf>
    <xf numFmtId="0" fontId="36" fillId="0" borderId="0" xfId="60" applyFont="1" applyFill="1">
      <alignment/>
      <protection/>
    </xf>
    <xf numFmtId="0" fontId="37" fillId="0" borderId="0" xfId="60" applyFont="1" applyFill="1" applyAlignment="1">
      <alignment vertical="center" wrapText="1"/>
      <protection/>
    </xf>
    <xf numFmtId="3" fontId="36" fillId="0" borderId="0" xfId="60" applyNumberFormat="1" applyFont="1" applyFill="1">
      <alignment/>
      <protection/>
    </xf>
    <xf numFmtId="3" fontId="37" fillId="0" borderId="0" xfId="60" applyNumberFormat="1" applyFont="1" applyFill="1" applyBorder="1" applyAlignment="1">
      <alignment horizontal="center" vertical="center" wrapText="1"/>
      <protection/>
    </xf>
    <xf numFmtId="0" fontId="37" fillId="0" borderId="0" xfId="60" applyFont="1" applyAlignment="1">
      <alignment vertical="center" wrapText="1"/>
      <protection/>
    </xf>
    <xf numFmtId="0" fontId="48" fillId="0" borderId="0" xfId="60" applyFont="1" applyFill="1">
      <alignment/>
      <protection/>
    </xf>
    <xf numFmtId="4" fontId="49" fillId="0" borderId="0" xfId="60" applyNumberFormat="1" applyFont="1" applyFill="1">
      <alignment/>
      <protection/>
    </xf>
    <xf numFmtId="3" fontId="48" fillId="0" borderId="0" xfId="60" applyNumberFormat="1" applyFont="1" applyFill="1">
      <alignment/>
      <protection/>
    </xf>
    <xf numFmtId="3" fontId="49" fillId="0" borderId="0" xfId="60" applyNumberFormat="1" applyFont="1" applyFill="1" applyAlignment="1">
      <alignment horizontal="right"/>
      <protection/>
    </xf>
    <xf numFmtId="0" fontId="50" fillId="0" borderId="0" xfId="60" applyFont="1" applyFill="1">
      <alignment/>
      <protection/>
    </xf>
    <xf numFmtId="0" fontId="48" fillId="0" borderId="0" xfId="60" applyFont="1" applyFill="1" applyAlignment="1">
      <alignment horizontal="center"/>
      <protection/>
    </xf>
    <xf numFmtId="0" fontId="48" fillId="0" borderId="0" xfId="60" applyFont="1">
      <alignment/>
      <protection/>
    </xf>
    <xf numFmtId="3" fontId="51" fillId="0" borderId="0" xfId="60" applyNumberFormat="1" applyFont="1" applyFill="1">
      <alignment/>
      <protection/>
    </xf>
    <xf numFmtId="0" fontId="48" fillId="0" borderId="0" xfId="60" applyFont="1" applyAlignment="1">
      <alignment horizontal="center"/>
      <protection/>
    </xf>
    <xf numFmtId="0" fontId="8" fillId="0" borderId="12" xfId="61" applyFont="1" applyFill="1" applyBorder="1" applyAlignment="1">
      <alignment vertical="top" wrapText="1"/>
      <protection/>
    </xf>
    <xf numFmtId="0" fontId="8" fillId="0" borderId="27" xfId="60" applyFont="1" applyFill="1" applyBorder="1" applyAlignment="1">
      <alignment horizontal="left" vertical="top" wrapText="1"/>
      <protection/>
    </xf>
    <xf numFmtId="0" fontId="8" fillId="0" borderId="0" xfId="52">
      <alignment/>
      <protection/>
    </xf>
    <xf numFmtId="0" fontId="53" fillId="0" borderId="0" xfId="52" applyFont="1" applyBorder="1" applyAlignment="1">
      <alignment vertical="top"/>
      <protection/>
    </xf>
    <xf numFmtId="0" fontId="53" fillId="0" borderId="68" xfId="52" applyFont="1" applyBorder="1" applyAlignment="1">
      <alignment vertical="top"/>
      <protection/>
    </xf>
    <xf numFmtId="0" fontId="39" fillId="0" borderId="69" xfId="52" applyFont="1" applyBorder="1" applyAlignment="1">
      <alignment horizontal="center" vertical="center" wrapText="1"/>
      <protection/>
    </xf>
    <xf numFmtId="0" fontId="39" fillId="0" borderId="70" xfId="52" applyFont="1" applyBorder="1" applyAlignment="1">
      <alignment horizontal="center" vertical="center" wrapText="1"/>
      <protection/>
    </xf>
    <xf numFmtId="49" fontId="8" fillId="0" borderId="70" xfId="52" applyNumberFormat="1" applyFont="1" applyBorder="1" applyAlignment="1">
      <alignment horizontal="center" vertical="center" wrapText="1"/>
      <protection/>
    </xf>
    <xf numFmtId="0" fontId="36" fillId="0" borderId="71" xfId="52" applyFont="1" applyBorder="1" applyAlignment="1">
      <alignment horizontal="center" vertical="center" wrapText="1"/>
      <protection/>
    </xf>
    <xf numFmtId="0" fontId="8" fillId="0" borderId="72" xfId="52" applyBorder="1" applyAlignment="1">
      <alignment horizontal="center" vertical="center" wrapText="1"/>
      <protection/>
    </xf>
    <xf numFmtId="0" fontId="8" fillId="0" borderId="12" xfId="52" applyBorder="1">
      <alignment/>
      <protection/>
    </xf>
    <xf numFmtId="0" fontId="8" fillId="0" borderId="12" xfId="52" applyFont="1" applyBorder="1">
      <alignment/>
      <protection/>
    </xf>
    <xf numFmtId="0" fontId="8" fillId="0" borderId="73" xfId="52" applyBorder="1" applyAlignment="1">
      <alignment horizontal="center" vertical="center"/>
      <protection/>
    </xf>
    <xf numFmtId="0" fontId="8" fillId="0" borderId="74" xfId="52" applyBorder="1" applyAlignment="1">
      <alignment horizontal="center" vertical="center"/>
      <protection/>
    </xf>
    <xf numFmtId="3" fontId="8" fillId="0" borderId="74" xfId="52" applyNumberFormat="1" applyBorder="1" applyAlignment="1">
      <alignment horizontal="center" vertical="center"/>
      <protection/>
    </xf>
    <xf numFmtId="0" fontId="52" fillId="0" borderId="75" xfId="52" applyFont="1" applyBorder="1" applyAlignment="1">
      <alignment vertical="center" wrapText="1"/>
      <protection/>
    </xf>
    <xf numFmtId="3" fontId="8" fillId="0" borderId="76" xfId="52" applyNumberFormat="1" applyFont="1" applyBorder="1" applyAlignment="1">
      <alignment horizontal="center" vertical="center" wrapText="1"/>
      <protection/>
    </xf>
    <xf numFmtId="3" fontId="45" fillId="0" borderId="77" xfId="52" applyNumberFormat="1" applyFont="1" applyBorder="1" applyAlignment="1">
      <alignment horizontal="center" vertical="center" wrapText="1"/>
      <protection/>
    </xf>
    <xf numFmtId="3" fontId="8" fillId="0" borderId="78" xfId="52" applyNumberFormat="1" applyBorder="1" applyAlignment="1">
      <alignment horizontal="center" vertical="center" wrapText="1"/>
      <protection/>
    </xf>
    <xf numFmtId="0" fontId="8" fillId="0" borderId="75" xfId="52" applyBorder="1" applyAlignment="1">
      <alignment horizontal="center" vertical="center"/>
      <protection/>
    </xf>
    <xf numFmtId="3" fontId="8" fillId="0" borderId="75" xfId="52" applyNumberFormat="1" applyBorder="1" applyAlignment="1">
      <alignment horizontal="center" vertical="center"/>
      <protection/>
    </xf>
    <xf numFmtId="0" fontId="52" fillId="0" borderId="79" xfId="52" applyFont="1" applyBorder="1" applyAlignment="1">
      <alignment vertical="center" wrapText="1"/>
      <protection/>
    </xf>
    <xf numFmtId="3" fontId="8" fillId="0" borderId="76" xfId="52" applyNumberFormat="1" applyBorder="1" applyAlignment="1">
      <alignment horizontal="center" vertical="center"/>
      <protection/>
    </xf>
    <xf numFmtId="0" fontId="52" fillId="0" borderId="80" xfId="52" applyFont="1" applyBorder="1" applyAlignment="1">
      <alignment vertical="center" wrapText="1"/>
      <protection/>
    </xf>
    <xf numFmtId="3" fontId="8" fillId="0" borderId="80" xfId="52" applyNumberFormat="1" applyBorder="1" applyAlignment="1">
      <alignment horizontal="center" vertical="center"/>
      <protection/>
    </xf>
    <xf numFmtId="3" fontId="45" fillId="0" borderId="81" xfId="52" applyNumberFormat="1" applyFont="1" applyBorder="1" applyAlignment="1">
      <alignment horizontal="center" vertical="center" wrapText="1"/>
      <protection/>
    </xf>
    <xf numFmtId="0" fontId="52" fillId="0" borderId="76" xfId="52" applyFont="1" applyBorder="1" applyAlignment="1">
      <alignment vertical="center" wrapText="1"/>
      <protection/>
    </xf>
    <xf numFmtId="0" fontId="45" fillId="0" borderId="12" xfId="52" applyFont="1" applyBorder="1">
      <alignment/>
      <protection/>
    </xf>
    <xf numFmtId="0" fontId="52" fillId="0" borderId="82" xfId="52" applyFont="1" applyBorder="1" applyAlignment="1">
      <alignment vertical="center" wrapText="1"/>
      <protection/>
    </xf>
    <xf numFmtId="3" fontId="8" fillId="0" borderId="82" xfId="52" applyNumberFormat="1" applyBorder="1" applyAlignment="1">
      <alignment horizontal="center" vertical="center"/>
      <protection/>
    </xf>
    <xf numFmtId="3" fontId="45" fillId="0" borderId="83" xfId="52" applyNumberFormat="1" applyFont="1" applyBorder="1" applyAlignment="1">
      <alignment horizontal="center" vertical="center" wrapText="1"/>
      <protection/>
    </xf>
    <xf numFmtId="3" fontId="45" fillId="0" borderId="84" xfId="52" applyNumberFormat="1" applyFont="1" applyBorder="1" applyAlignment="1">
      <alignment horizontal="center" vertical="center" wrapText="1"/>
      <protection/>
    </xf>
    <xf numFmtId="0" fontId="52" fillId="0" borderId="85" xfId="52" applyFont="1" applyBorder="1" applyAlignment="1">
      <alignment vertical="center" wrapText="1"/>
      <protection/>
    </xf>
    <xf numFmtId="3" fontId="8" fillId="0" borderId="86" xfId="52" applyNumberFormat="1" applyBorder="1" applyAlignment="1">
      <alignment horizontal="center" vertical="center"/>
      <protection/>
    </xf>
    <xf numFmtId="3" fontId="45" fillId="0" borderId="87" xfId="52" applyNumberFormat="1" applyFont="1" applyBorder="1" applyAlignment="1">
      <alignment horizontal="center" vertical="center" wrapText="1"/>
      <protection/>
    </xf>
    <xf numFmtId="3" fontId="8" fillId="0" borderId="88" xfId="52" applyNumberFormat="1" applyBorder="1" applyAlignment="1">
      <alignment horizontal="center" vertical="center"/>
      <protection/>
    </xf>
    <xf numFmtId="0" fontId="52" fillId="0" borderId="89" xfId="52" applyFont="1" applyBorder="1" applyAlignment="1">
      <alignment vertical="center" wrapText="1"/>
      <protection/>
    </xf>
    <xf numFmtId="3" fontId="8" fillId="0" borderId="90" xfId="52" applyNumberFormat="1" applyBorder="1" applyAlignment="1">
      <alignment horizontal="center" vertical="center"/>
      <protection/>
    </xf>
    <xf numFmtId="0" fontId="52" fillId="0" borderId="91" xfId="52" applyFont="1" applyBorder="1" applyAlignment="1">
      <alignment vertical="center" wrapText="1"/>
      <protection/>
    </xf>
    <xf numFmtId="3" fontId="45" fillId="0" borderId="92" xfId="52" applyNumberFormat="1" applyFont="1" applyBorder="1" applyAlignment="1">
      <alignment horizontal="center" vertical="center" wrapText="1"/>
      <protection/>
    </xf>
    <xf numFmtId="0" fontId="52" fillId="0" borderId="93" xfId="52" applyFont="1" applyBorder="1" applyAlignment="1">
      <alignment vertical="center" wrapText="1"/>
      <protection/>
    </xf>
    <xf numFmtId="3" fontId="8" fillId="0" borderId="93" xfId="52" applyNumberFormat="1" applyBorder="1" applyAlignment="1">
      <alignment horizontal="center" vertical="center"/>
      <protection/>
    </xf>
    <xf numFmtId="0" fontId="8" fillId="0" borderId="94" xfId="52" applyBorder="1" applyAlignment="1">
      <alignment horizontal="center" vertical="center"/>
      <protection/>
    </xf>
    <xf numFmtId="0" fontId="8" fillId="0" borderId="95" xfId="52" applyFont="1" applyBorder="1" applyAlignment="1">
      <alignment horizontal="center" vertical="center"/>
      <protection/>
    </xf>
    <xf numFmtId="3" fontId="8" fillId="0" borderId="95" xfId="52" applyNumberFormat="1" applyBorder="1" applyAlignment="1">
      <alignment horizontal="center" vertical="center"/>
      <protection/>
    </xf>
    <xf numFmtId="0" fontId="52" fillId="0" borderId="95" xfId="52" applyFont="1" applyBorder="1" applyAlignment="1">
      <alignment vertical="center" wrapText="1"/>
      <protection/>
    </xf>
    <xf numFmtId="3" fontId="45" fillId="0" borderId="71" xfId="52" applyNumberFormat="1" applyFont="1" applyBorder="1" applyAlignment="1">
      <alignment horizontal="center" vertical="center" wrapText="1"/>
      <protection/>
    </xf>
    <xf numFmtId="3" fontId="8" fillId="0" borderId="78" xfId="52" applyNumberFormat="1" applyBorder="1" applyAlignment="1">
      <alignment vertical="center"/>
      <protection/>
    </xf>
    <xf numFmtId="3" fontId="8" fillId="0" borderId="91" xfId="52" applyNumberFormat="1" applyBorder="1" applyAlignment="1">
      <alignment horizontal="center" vertical="center"/>
      <protection/>
    </xf>
    <xf numFmtId="0" fontId="52" fillId="0" borderId="96" xfId="52" applyFont="1" applyBorder="1" applyAlignment="1">
      <alignment vertical="center" wrapText="1"/>
      <protection/>
    </xf>
    <xf numFmtId="0" fontId="52" fillId="0" borderId="90" xfId="52" applyFont="1" applyBorder="1" applyAlignment="1">
      <alignment vertical="center" wrapText="1"/>
      <protection/>
    </xf>
    <xf numFmtId="3" fontId="8" fillId="0" borderId="97" xfId="52" applyNumberFormat="1" applyBorder="1" applyAlignment="1">
      <alignment horizontal="center" vertical="center"/>
      <protection/>
    </xf>
    <xf numFmtId="0" fontId="11" fillId="0" borderId="0" xfId="52" applyFont="1" applyBorder="1" applyAlignment="1">
      <alignment vertical="top" wrapText="1"/>
      <protection/>
    </xf>
    <xf numFmtId="0" fontId="37" fillId="0" borderId="0" xfId="52" applyFont="1" applyBorder="1" applyAlignment="1">
      <alignment horizontal="center" vertical="center" wrapText="1"/>
      <protection/>
    </xf>
    <xf numFmtId="0" fontId="37" fillId="0" borderId="0" xfId="52" applyFont="1" applyAlignment="1">
      <alignment horizontal="center" vertical="center" wrapText="1"/>
      <protection/>
    </xf>
    <xf numFmtId="0" fontId="10" fillId="0" borderId="75" xfId="52" applyFont="1" applyBorder="1" applyAlignment="1">
      <alignment horizontal="center" vertical="center"/>
      <protection/>
    </xf>
    <xf numFmtId="0" fontId="10" fillId="0" borderId="0" xfId="52" applyFont="1" applyBorder="1" applyAlignment="1">
      <alignment horizontal="center" vertical="center"/>
      <protection/>
    </xf>
    <xf numFmtId="0" fontId="8" fillId="0" borderId="0" xfId="52" applyAlignment="1">
      <alignment horizontal="center" vertical="center"/>
      <protection/>
    </xf>
    <xf numFmtId="0" fontId="8" fillId="0" borderId="90" xfId="52" applyBorder="1" applyAlignment="1">
      <alignment horizontal="center" vertical="center"/>
      <protection/>
    </xf>
    <xf numFmtId="49" fontId="8" fillId="0" borderId="90" xfId="52" applyNumberFormat="1" applyFont="1" applyBorder="1" applyAlignment="1">
      <alignment horizontal="center" vertical="center"/>
      <protection/>
    </xf>
    <xf numFmtId="3" fontId="8" fillId="0" borderId="0" xfId="52" applyNumberFormat="1" applyBorder="1" applyAlignment="1">
      <alignment horizontal="center" vertical="center"/>
      <protection/>
    </xf>
    <xf numFmtId="0" fontId="8" fillId="0" borderId="82" xfId="52" applyBorder="1" applyAlignment="1">
      <alignment horizontal="center" vertical="center"/>
      <protection/>
    </xf>
    <xf numFmtId="49" fontId="8" fillId="0" borderId="82" xfId="52" applyNumberFormat="1" applyFont="1" applyBorder="1" applyAlignment="1">
      <alignment horizontal="center" vertical="center"/>
      <protection/>
    </xf>
    <xf numFmtId="49" fontId="8" fillId="0" borderId="82" xfId="52" applyNumberFormat="1" applyBorder="1" applyAlignment="1">
      <alignment horizontal="center" vertical="center"/>
      <protection/>
    </xf>
    <xf numFmtId="49" fontId="8" fillId="0" borderId="97" xfId="52" applyNumberFormat="1" applyBorder="1" applyAlignment="1">
      <alignment horizontal="center" vertical="center"/>
      <protection/>
    </xf>
    <xf numFmtId="0" fontId="8" fillId="0" borderId="97" xfId="52" applyBorder="1" applyAlignment="1">
      <alignment horizontal="center" vertical="center"/>
      <protection/>
    </xf>
    <xf numFmtId="0" fontId="45" fillId="0" borderId="95" xfId="52" applyFont="1" applyBorder="1" applyAlignment="1">
      <alignment horizontal="center" vertical="center"/>
      <protection/>
    </xf>
    <xf numFmtId="3" fontId="45" fillId="0" borderId="95" xfId="52" applyNumberFormat="1" applyFont="1" applyBorder="1" applyAlignment="1">
      <alignment horizontal="center" vertical="center"/>
      <protection/>
    </xf>
    <xf numFmtId="3" fontId="45" fillId="0" borderId="98" xfId="52" applyNumberFormat="1" applyFont="1" applyBorder="1" applyAlignment="1">
      <alignment horizontal="center" vertical="center"/>
      <protection/>
    </xf>
    <xf numFmtId="3" fontId="45" fillId="0" borderId="0" xfId="52" applyNumberFormat="1" applyFont="1" applyBorder="1" applyAlignment="1">
      <alignment horizontal="center" vertical="center"/>
      <protection/>
    </xf>
    <xf numFmtId="3" fontId="8" fillId="0" borderId="0" xfId="52" applyNumberFormat="1" applyAlignment="1">
      <alignment horizontal="center" vertical="center"/>
      <protection/>
    </xf>
    <xf numFmtId="3" fontId="8" fillId="0" borderId="0" xfId="52" applyNumberFormat="1">
      <alignment/>
      <protection/>
    </xf>
    <xf numFmtId="0" fontId="19" fillId="0" borderId="0" xfId="55">
      <alignment/>
      <protection/>
    </xf>
    <xf numFmtId="0" fontId="19" fillId="0" borderId="0" xfId="55" applyAlignment="1">
      <alignment vertical="center"/>
      <protection/>
    </xf>
    <xf numFmtId="0" fontId="33" fillId="0" borderId="0" xfId="55" applyFont="1" applyAlignment="1">
      <alignment horizontal="right" vertical="center"/>
      <protection/>
    </xf>
    <xf numFmtId="0" fontId="40" fillId="20" borderId="12" xfId="55" applyFont="1" applyFill="1" applyBorder="1" applyAlignment="1">
      <alignment horizontal="center" vertical="center" wrapText="1"/>
      <protection/>
    </xf>
    <xf numFmtId="0" fontId="19" fillId="0" borderId="0" xfId="55" applyAlignment="1">
      <alignment horizontal="center" vertical="center"/>
      <protection/>
    </xf>
    <xf numFmtId="0" fontId="55" fillId="0" borderId="12" xfId="55" applyFont="1" applyBorder="1" applyAlignment="1">
      <alignment horizontal="center" vertical="center"/>
      <protection/>
    </xf>
    <xf numFmtId="49" fontId="19" fillId="0" borderId="10" xfId="55" applyNumberFormat="1" applyFont="1" applyBorder="1" applyAlignment="1">
      <alignment horizontal="right" vertical="center"/>
      <protection/>
    </xf>
    <xf numFmtId="4" fontId="19" fillId="0" borderId="10" xfId="55" applyNumberFormat="1" applyBorder="1" applyAlignment="1">
      <alignment vertical="center"/>
      <protection/>
    </xf>
    <xf numFmtId="3" fontId="19" fillId="0" borderId="10" xfId="55" applyNumberFormat="1" applyBorder="1" applyAlignment="1">
      <alignment vertical="center"/>
      <protection/>
    </xf>
    <xf numFmtId="0" fontId="19" fillId="0" borderId="99" xfId="55" applyBorder="1" applyAlignment="1">
      <alignment vertical="center"/>
      <protection/>
    </xf>
    <xf numFmtId="3" fontId="19" fillId="0" borderId="99" xfId="55" applyNumberFormat="1" applyBorder="1" applyAlignment="1">
      <alignment vertical="center"/>
      <protection/>
    </xf>
    <xf numFmtId="0" fontId="57" fillId="0" borderId="0" xfId="55" applyFont="1" applyAlignment="1">
      <alignment vertical="center"/>
      <protection/>
    </xf>
    <xf numFmtId="0" fontId="8" fillId="0" borderId="0" xfId="55" applyFont="1">
      <alignment/>
      <protection/>
    </xf>
    <xf numFmtId="0" fontId="8" fillId="0" borderId="0" xfId="53">
      <alignment/>
      <protection/>
    </xf>
    <xf numFmtId="0" fontId="8" fillId="0" borderId="0" xfId="53" applyAlignment="1">
      <alignment horizontal="center"/>
      <protection/>
    </xf>
    <xf numFmtId="0" fontId="7" fillId="0" borderId="0" xfId="53" applyFont="1" applyAlignment="1">
      <alignment horizontal="center"/>
      <protection/>
    </xf>
    <xf numFmtId="0" fontId="45" fillId="20" borderId="100" xfId="53" applyFont="1" applyFill="1" applyBorder="1" applyAlignment="1">
      <alignment horizontal="center" vertical="center"/>
      <protection/>
    </xf>
    <xf numFmtId="0" fontId="40" fillId="20" borderId="101" xfId="53" applyFont="1" applyFill="1" applyBorder="1" applyAlignment="1">
      <alignment horizontal="center" vertical="center"/>
      <protection/>
    </xf>
    <xf numFmtId="0" fontId="40" fillId="20" borderId="101" xfId="53" applyFont="1" applyFill="1" applyBorder="1" applyAlignment="1">
      <alignment horizontal="center" vertical="center" wrapText="1"/>
      <protection/>
    </xf>
    <xf numFmtId="0" fontId="40" fillId="20" borderId="102" xfId="53" applyFont="1" applyFill="1" applyBorder="1" applyAlignment="1">
      <alignment horizontal="center" vertical="center"/>
      <protection/>
    </xf>
    <xf numFmtId="4" fontId="58" fillId="6" borderId="27" xfId="42" applyNumberFormat="1" applyFont="1" applyFill="1" applyBorder="1" applyAlignment="1" applyProtection="1">
      <alignment horizontal="center" vertical="center"/>
      <protection/>
    </xf>
    <xf numFmtId="4" fontId="8" fillId="6" borderId="27" xfId="42" applyNumberFormat="1" applyFont="1" applyFill="1" applyBorder="1" applyAlignment="1" applyProtection="1">
      <alignment horizontal="center" vertical="center"/>
      <protection/>
    </xf>
    <xf numFmtId="4" fontId="8" fillId="6" borderId="103" xfId="42" applyNumberFormat="1" applyFont="1" applyFill="1" applyBorder="1" applyAlignment="1" applyProtection="1">
      <alignment horizontal="center" vertical="center"/>
      <protection/>
    </xf>
    <xf numFmtId="49" fontId="45" fillId="0" borderId="104" xfId="53" applyNumberFormat="1" applyFont="1" applyBorder="1" applyAlignment="1">
      <alignment horizontal="center" vertical="center"/>
      <protection/>
    </xf>
    <xf numFmtId="49" fontId="45" fillId="0" borderId="12" xfId="53" applyNumberFormat="1" applyFont="1" applyBorder="1" applyAlignment="1">
      <alignment horizontal="center" vertical="center"/>
      <protection/>
    </xf>
    <xf numFmtId="0" fontId="45" fillId="0" borderId="12" xfId="53" applyFont="1" applyBorder="1" applyAlignment="1">
      <alignment horizontal="center" vertical="center" wrapText="1"/>
      <protection/>
    </xf>
    <xf numFmtId="4" fontId="45" fillId="0" borderId="12" xfId="42" applyNumberFormat="1" applyFont="1" applyFill="1" applyBorder="1" applyAlignment="1" applyProtection="1">
      <alignment horizontal="center" vertical="center"/>
      <protection/>
    </xf>
    <xf numFmtId="4" fontId="8" fillId="0" borderId="12" xfId="42" applyNumberFormat="1" applyFont="1" applyFill="1" applyBorder="1" applyAlignment="1" applyProtection="1">
      <alignment horizontal="center" vertical="center"/>
      <protection/>
    </xf>
    <xf numFmtId="4" fontId="8" fillId="0" borderId="105" xfId="42" applyNumberFormat="1" applyFont="1" applyFill="1" applyBorder="1" applyAlignment="1" applyProtection="1">
      <alignment horizontal="center" vertical="center"/>
      <protection/>
    </xf>
    <xf numFmtId="4" fontId="57" fillId="0" borderId="10" xfId="53" applyNumberFormat="1" applyFont="1" applyBorder="1" applyAlignment="1">
      <alignment horizontal="right" vertical="center" wrapText="1"/>
      <protection/>
    </xf>
    <xf numFmtId="4" fontId="59" fillId="0" borderId="10" xfId="42" applyNumberFormat="1" applyFont="1" applyFill="1" applyBorder="1" applyAlignment="1" applyProtection="1">
      <alignment horizontal="right" vertical="center"/>
      <protection/>
    </xf>
    <xf numFmtId="4" fontId="59" fillId="0" borderId="10" xfId="42" applyNumberFormat="1" applyFont="1" applyFill="1" applyBorder="1" applyAlignment="1" applyProtection="1">
      <alignment horizontal="center" vertical="center"/>
      <protection/>
    </xf>
    <xf numFmtId="4" fontId="59" fillId="0" borderId="106" xfId="42" applyNumberFormat="1" applyFont="1" applyFill="1" applyBorder="1" applyAlignment="1" applyProtection="1">
      <alignment horizontal="center" vertical="center"/>
      <protection/>
    </xf>
    <xf numFmtId="4" fontId="8" fillId="0" borderId="0" xfId="53" applyNumberFormat="1">
      <alignment/>
      <protection/>
    </xf>
    <xf numFmtId="49" fontId="8" fillId="0" borderId="92" xfId="53" applyNumberFormat="1" applyBorder="1" applyAlignment="1">
      <alignment horizontal="center" vertical="center"/>
      <protection/>
    </xf>
    <xf numFmtId="49" fontId="8" fillId="0" borderId="0" xfId="53" applyNumberFormat="1" applyFont="1" applyBorder="1" applyAlignment="1">
      <alignment horizontal="center" vertical="center"/>
      <protection/>
    </xf>
    <xf numFmtId="0" fontId="19" fillId="0" borderId="10" xfId="53" applyFont="1" applyBorder="1" applyAlignment="1">
      <alignment horizontal="left" vertical="center" wrapText="1"/>
      <protection/>
    </xf>
    <xf numFmtId="4" fontId="8" fillId="0" borderId="107" xfId="53" applyNumberFormat="1" applyFont="1" applyBorder="1" applyAlignment="1">
      <alignment horizontal="right" vertical="center" wrapText="1"/>
      <protection/>
    </xf>
    <xf numFmtId="4" fontId="19" fillId="0" borderId="10" xfId="42" applyNumberFormat="1" applyFont="1" applyFill="1" applyBorder="1" applyAlignment="1" applyProtection="1">
      <alignment horizontal="right" vertical="center"/>
      <protection/>
    </xf>
    <xf numFmtId="4" fontId="8" fillId="0" borderId="108" xfId="42" applyNumberFormat="1" applyFont="1" applyFill="1" applyBorder="1" applyAlignment="1" applyProtection="1">
      <alignment horizontal="center" vertical="center"/>
      <protection/>
    </xf>
    <xf numFmtId="4" fontId="8" fillId="0" borderId="106" xfId="42" applyNumberFormat="1" applyFont="1" applyFill="1" applyBorder="1" applyAlignment="1" applyProtection="1">
      <alignment horizontal="center" vertical="center"/>
      <protection/>
    </xf>
    <xf numFmtId="0" fontId="19" fillId="0" borderId="109" xfId="53" applyFont="1" applyBorder="1" applyAlignment="1">
      <alignment horizontal="left" vertical="center" wrapText="1"/>
      <protection/>
    </xf>
    <xf numFmtId="4" fontId="8" fillId="0" borderId="110" xfId="53" applyNumberFormat="1" applyFont="1" applyBorder="1" applyAlignment="1">
      <alignment horizontal="right" vertical="center" wrapText="1"/>
      <protection/>
    </xf>
    <xf numFmtId="4" fontId="19" fillId="0" borderId="109" xfId="42" applyNumberFormat="1" applyFont="1" applyFill="1" applyBorder="1" applyAlignment="1" applyProtection="1">
      <alignment horizontal="right" vertical="center"/>
      <protection/>
    </xf>
    <xf numFmtId="4" fontId="8" fillId="0" borderId="111" xfId="42" applyNumberFormat="1" applyFont="1" applyFill="1" applyBorder="1" applyAlignment="1" applyProtection="1">
      <alignment horizontal="center" vertical="center"/>
      <protection/>
    </xf>
    <xf numFmtId="4" fontId="8" fillId="0" borderId="112" xfId="42" applyNumberFormat="1" applyFont="1" applyFill="1" applyBorder="1" applyAlignment="1" applyProtection="1">
      <alignment horizontal="center" vertical="center"/>
      <protection/>
    </xf>
    <xf numFmtId="0" fontId="19" fillId="0" borderId="27" xfId="53" applyFont="1" applyBorder="1" applyAlignment="1">
      <alignment horizontal="left" vertical="center" wrapText="1"/>
      <protection/>
    </xf>
    <xf numFmtId="4" fontId="8" fillId="0" borderId="0" xfId="53" applyNumberFormat="1" applyFont="1" applyBorder="1" applyAlignment="1">
      <alignment horizontal="right" vertical="center" wrapText="1"/>
      <protection/>
    </xf>
    <xf numFmtId="4" fontId="19" fillId="0" borderId="27" xfId="42" applyNumberFormat="1" applyFont="1" applyFill="1" applyBorder="1" applyAlignment="1" applyProtection="1">
      <alignment horizontal="right" vertical="center"/>
      <protection/>
    </xf>
    <xf numFmtId="4" fontId="8" fillId="0" borderId="113" xfId="42" applyNumberFormat="1" applyFont="1" applyFill="1" applyBorder="1" applyAlignment="1" applyProtection="1">
      <alignment horizontal="center" vertical="center"/>
      <protection/>
    </xf>
    <xf numFmtId="4" fontId="8" fillId="0" borderId="114" xfId="42" applyNumberFormat="1" applyFont="1" applyFill="1" applyBorder="1" applyAlignment="1" applyProtection="1">
      <alignment horizontal="center" vertical="center"/>
      <protection/>
    </xf>
    <xf numFmtId="4" fontId="59" fillId="0" borderId="12" xfId="53" applyNumberFormat="1" applyFont="1" applyBorder="1" applyAlignment="1">
      <alignment horizontal="right" vertical="center" wrapText="1"/>
      <protection/>
    </xf>
    <xf numFmtId="4" fontId="57" fillId="0" borderId="12" xfId="42" applyNumberFormat="1" applyFont="1" applyFill="1" applyBorder="1" applyAlignment="1" applyProtection="1">
      <alignment horizontal="right" vertical="center"/>
      <protection/>
    </xf>
    <xf numFmtId="0" fontId="19" fillId="0" borderId="17" xfId="53" applyFont="1" applyBorder="1" applyAlignment="1">
      <alignment horizontal="left" vertical="center" wrapText="1"/>
      <protection/>
    </xf>
    <xf numFmtId="4" fontId="19" fillId="0" borderId="17" xfId="42" applyNumberFormat="1" applyFont="1" applyFill="1" applyBorder="1" applyAlignment="1" applyProtection="1">
      <alignment horizontal="right" vertical="center"/>
      <protection/>
    </xf>
    <xf numFmtId="49" fontId="8" fillId="0" borderId="115" xfId="53" applyNumberFormat="1" applyBorder="1" applyAlignment="1">
      <alignment horizontal="center" vertical="center"/>
      <protection/>
    </xf>
    <xf numFmtId="49" fontId="8" fillId="0" borderId="88" xfId="53" applyNumberFormat="1" applyBorder="1" applyAlignment="1">
      <alignment horizontal="center" vertical="center"/>
      <protection/>
    </xf>
    <xf numFmtId="0" fontId="45" fillId="0" borderId="88" xfId="53" applyFont="1" applyBorder="1" applyAlignment="1">
      <alignment horizontal="center" vertical="center" wrapText="1"/>
      <protection/>
    </xf>
    <xf numFmtId="4" fontId="45" fillId="0" borderId="88" xfId="53" applyNumberFormat="1" applyFont="1" applyBorder="1" applyAlignment="1">
      <alignment horizontal="center" vertical="center" wrapText="1"/>
      <protection/>
    </xf>
    <xf numFmtId="4" fontId="45" fillId="0" borderId="88" xfId="42" applyNumberFormat="1" applyFont="1" applyFill="1" applyBorder="1" applyAlignment="1" applyProtection="1">
      <alignment horizontal="center" vertical="center"/>
      <protection/>
    </xf>
    <xf numFmtId="4" fontId="8" fillId="0" borderId="116" xfId="42" applyNumberFormat="1" applyFont="1" applyFill="1" applyBorder="1" applyAlignment="1" applyProtection="1">
      <alignment horizontal="center" vertical="center"/>
      <protection/>
    </xf>
    <xf numFmtId="4" fontId="58" fillId="6" borderId="27" xfId="53" applyNumberFormat="1" applyFont="1" applyFill="1" applyBorder="1" applyAlignment="1">
      <alignment horizontal="center" vertical="center" wrapText="1"/>
      <protection/>
    </xf>
    <xf numFmtId="4" fontId="59" fillId="6" borderId="27" xfId="42" applyNumberFormat="1" applyFont="1" applyFill="1" applyBorder="1" applyAlignment="1" applyProtection="1">
      <alignment horizontal="center" vertical="center"/>
      <protection/>
    </xf>
    <xf numFmtId="4" fontId="58" fillId="6" borderId="117" xfId="42" applyNumberFormat="1" applyFont="1" applyFill="1" applyBorder="1" applyAlignment="1" applyProtection="1">
      <alignment horizontal="center" vertical="center"/>
      <protection/>
    </xf>
    <xf numFmtId="4" fontId="45" fillId="0" borderId="12" xfId="53" applyNumberFormat="1" applyFont="1" applyBorder="1" applyAlignment="1">
      <alignment horizontal="center" vertical="center" wrapText="1"/>
      <protection/>
    </xf>
    <xf numFmtId="4" fontId="45" fillId="0" borderId="118" xfId="42" applyNumberFormat="1" applyFont="1" applyFill="1" applyBorder="1" applyAlignment="1" applyProtection="1">
      <alignment horizontal="center" vertical="center"/>
      <protection/>
    </xf>
    <xf numFmtId="4" fontId="60" fillId="0" borderId="10" xfId="53" applyNumberFormat="1" applyFont="1" applyBorder="1" applyAlignment="1">
      <alignment horizontal="left" vertical="center" wrapText="1"/>
      <protection/>
    </xf>
    <xf numFmtId="4" fontId="59" fillId="0" borderId="12" xfId="42" applyNumberFormat="1" applyFont="1" applyFill="1" applyBorder="1" applyAlignment="1" applyProtection="1">
      <alignment horizontal="center" vertical="center"/>
      <protection/>
    </xf>
    <xf numFmtId="0" fontId="19" fillId="0" borderId="119" xfId="53" applyFont="1" applyBorder="1" applyAlignment="1">
      <alignment horizontal="left" vertical="center" wrapText="1"/>
      <protection/>
    </xf>
    <xf numFmtId="4" fontId="8" fillId="0" borderId="120" xfId="53" applyNumberFormat="1" applyFont="1" applyBorder="1" applyAlignment="1">
      <alignment horizontal="right" vertical="center" wrapText="1"/>
      <protection/>
    </xf>
    <xf numFmtId="4" fontId="19" fillId="0" borderId="119" xfId="42" applyNumberFormat="1" applyFont="1" applyFill="1" applyBorder="1" applyAlignment="1" applyProtection="1">
      <alignment horizontal="right" vertical="center"/>
      <protection/>
    </xf>
    <xf numFmtId="4" fontId="8" fillId="0" borderId="121" xfId="42" applyNumberFormat="1" applyFont="1" applyFill="1" applyBorder="1" applyAlignment="1" applyProtection="1">
      <alignment horizontal="center" vertical="center"/>
      <protection/>
    </xf>
    <xf numFmtId="4" fontId="8" fillId="0" borderId="122" xfId="42" applyNumberFormat="1" applyFont="1" applyFill="1" applyBorder="1" applyAlignment="1" applyProtection="1">
      <alignment horizontal="center" vertical="center"/>
      <protection/>
    </xf>
    <xf numFmtId="0" fontId="19" fillId="0" borderId="123" xfId="53" applyFont="1" applyBorder="1" applyAlignment="1">
      <alignment horizontal="left" vertical="center" wrapText="1"/>
      <protection/>
    </xf>
    <xf numFmtId="4" fontId="8" fillId="0" borderId="124" xfId="53" applyNumberFormat="1" applyFont="1" applyBorder="1" applyAlignment="1">
      <alignment horizontal="right" vertical="center" wrapText="1"/>
      <protection/>
    </xf>
    <xf numFmtId="4" fontId="19" fillId="0" borderId="123" xfId="42" applyNumberFormat="1" applyFont="1" applyFill="1" applyBorder="1" applyAlignment="1" applyProtection="1">
      <alignment horizontal="right" vertical="center"/>
      <protection/>
    </xf>
    <xf numFmtId="4" fontId="8" fillId="0" borderId="125" xfId="42" applyNumberFormat="1" applyFont="1" applyFill="1" applyBorder="1" applyAlignment="1" applyProtection="1">
      <alignment horizontal="center" vertical="center"/>
      <protection/>
    </xf>
    <xf numFmtId="4" fontId="8" fillId="0" borderId="126" xfId="42" applyNumberFormat="1" applyFont="1" applyFill="1" applyBorder="1" applyAlignment="1" applyProtection="1">
      <alignment horizontal="center" vertical="center"/>
      <protection/>
    </xf>
    <xf numFmtId="4" fontId="57" fillId="0" borderId="12" xfId="53" applyNumberFormat="1" applyFont="1" applyBorder="1" applyAlignment="1">
      <alignment horizontal="left" vertical="center" wrapText="1"/>
      <protection/>
    </xf>
    <xf numFmtId="4" fontId="59" fillId="0" borderId="118" xfId="42" applyNumberFormat="1" applyFont="1" applyFill="1" applyBorder="1" applyAlignment="1" applyProtection="1">
      <alignment horizontal="center" vertical="center"/>
      <protection/>
    </xf>
    <xf numFmtId="4" fontId="8" fillId="0" borderId="127" xfId="53" applyNumberFormat="1" applyFont="1" applyBorder="1" applyAlignment="1">
      <alignment horizontal="right" vertical="center" wrapText="1"/>
      <protection/>
    </xf>
    <xf numFmtId="4" fontId="19" fillId="0" borderId="128" xfId="42" applyNumberFormat="1" applyFont="1" applyFill="1" applyBorder="1" applyAlignment="1" applyProtection="1">
      <alignment horizontal="right" vertical="center"/>
      <protection/>
    </xf>
    <xf numFmtId="4" fontId="8" fillId="0" borderId="129" xfId="42" applyNumberFormat="1" applyFont="1" applyFill="1" applyBorder="1" applyAlignment="1" applyProtection="1">
      <alignment horizontal="center" vertical="center"/>
      <protection/>
    </xf>
    <xf numFmtId="0" fontId="45" fillId="0" borderId="130" xfId="53" applyNumberFormat="1" applyFont="1" applyBorder="1" applyAlignment="1">
      <alignment horizontal="center" vertical="center" wrapText="1"/>
      <protection/>
    </xf>
    <xf numFmtId="4" fontId="37" fillId="0" borderId="130" xfId="42" applyNumberFormat="1" applyFont="1" applyFill="1" applyBorder="1" applyAlignment="1" applyProtection="1">
      <alignment horizontal="center" vertical="center"/>
      <protection/>
    </xf>
    <xf numFmtId="4" fontId="37" fillId="0" borderId="131" xfId="42" applyNumberFormat="1" applyFont="1" applyFill="1" applyBorder="1" applyAlignment="1" applyProtection="1">
      <alignment horizontal="center" vertical="center"/>
      <protection/>
    </xf>
    <xf numFmtId="49" fontId="8" fillId="0" borderId="0" xfId="53" applyNumberFormat="1" applyAlignment="1">
      <alignment horizontal="center" vertical="center"/>
      <protection/>
    </xf>
    <xf numFmtId="165" fontId="8" fillId="0" borderId="0" xfId="42" applyNumberFormat="1" applyFont="1" applyFill="1" applyBorder="1" applyAlignment="1" applyProtection="1">
      <alignment/>
      <protection/>
    </xf>
    <xf numFmtId="0" fontId="19" fillId="0" borderId="0" xfId="57">
      <alignment/>
      <protection/>
    </xf>
    <xf numFmtId="0" fontId="19" fillId="0" borderId="0" xfId="57" applyAlignment="1">
      <alignment vertical="center"/>
      <protection/>
    </xf>
    <xf numFmtId="0" fontId="33" fillId="0" borderId="0" xfId="57" applyFont="1" applyAlignment="1">
      <alignment horizontal="right" vertical="center"/>
      <protection/>
    </xf>
    <xf numFmtId="0" fontId="19" fillId="0" borderId="0" xfId="57" applyAlignment="1">
      <alignment horizontal="center" vertical="center"/>
      <protection/>
    </xf>
    <xf numFmtId="0" fontId="55" fillId="0" borderId="12" xfId="57" applyFont="1" applyBorder="1" applyAlignment="1">
      <alignment horizontal="center" vertical="center"/>
      <protection/>
    </xf>
    <xf numFmtId="0" fontId="19" fillId="0" borderId="119" xfId="57" applyBorder="1" applyAlignment="1">
      <alignment vertical="center"/>
      <protection/>
    </xf>
    <xf numFmtId="3" fontId="19" fillId="0" borderId="119" xfId="57" applyNumberFormat="1" applyBorder="1" applyAlignment="1">
      <alignment vertical="center"/>
      <protection/>
    </xf>
    <xf numFmtId="3" fontId="19" fillId="0" borderId="10" xfId="57" applyNumberFormat="1" applyBorder="1" applyAlignment="1">
      <alignment vertical="center"/>
      <protection/>
    </xf>
    <xf numFmtId="3" fontId="19" fillId="0" borderId="12" xfId="57" applyNumberFormat="1" applyBorder="1" applyAlignment="1">
      <alignment vertical="center"/>
      <protection/>
    </xf>
    <xf numFmtId="0" fontId="57" fillId="0" borderId="0" xfId="57" applyFont="1" applyAlignment="1">
      <alignment vertical="center"/>
      <protection/>
    </xf>
    <xf numFmtId="0" fontId="8" fillId="0" borderId="0" xfId="57" applyFont="1">
      <alignment/>
      <protection/>
    </xf>
    <xf numFmtId="0" fontId="40" fillId="0" borderId="12" xfId="57" applyFont="1" applyFill="1" applyBorder="1" applyAlignment="1">
      <alignment horizontal="center" vertical="center" wrapText="1"/>
      <protection/>
    </xf>
    <xf numFmtId="0" fontId="19" fillId="0" borderId="119" xfId="57" applyFont="1" applyBorder="1" applyAlignment="1">
      <alignment vertical="center"/>
      <protection/>
    </xf>
    <xf numFmtId="0" fontId="19" fillId="0" borderId="10" xfId="57" applyBorder="1" applyAlignment="1">
      <alignment vertical="center"/>
      <protection/>
    </xf>
    <xf numFmtId="0" fontId="19" fillId="0" borderId="10" xfId="57" applyFont="1" applyBorder="1" applyAlignment="1">
      <alignment vertical="center"/>
      <protection/>
    </xf>
    <xf numFmtId="4" fontId="19" fillId="0" borderId="119" xfId="57" applyNumberFormat="1" applyBorder="1" applyAlignment="1">
      <alignment vertical="center"/>
      <protection/>
    </xf>
    <xf numFmtId="4" fontId="19" fillId="0" borderId="10" xfId="57" applyNumberFormat="1" applyBorder="1" applyAlignment="1">
      <alignment vertical="center"/>
      <protection/>
    </xf>
    <xf numFmtId="4" fontId="19" fillId="0" borderId="20" xfId="57" applyNumberFormat="1" applyBorder="1" applyAlignment="1">
      <alignment vertical="center"/>
      <protection/>
    </xf>
    <xf numFmtId="0" fontId="19" fillId="0" borderId="0" xfId="54" applyAlignment="1">
      <alignment vertical="center"/>
      <protection/>
    </xf>
    <xf numFmtId="0" fontId="61" fillId="0" borderId="0" xfId="54" applyFont="1" applyAlignment="1">
      <alignment horizontal="right" vertical="center"/>
      <protection/>
    </xf>
    <xf numFmtId="0" fontId="40" fillId="0" borderId="12" xfId="54" applyFont="1" applyFill="1" applyBorder="1" applyAlignment="1">
      <alignment horizontal="center" vertical="center"/>
      <protection/>
    </xf>
    <xf numFmtId="0" fontId="40" fillId="0" borderId="12" xfId="54" applyFont="1" applyFill="1" applyBorder="1" applyAlignment="1">
      <alignment horizontal="center" vertical="center" wrapText="1"/>
      <protection/>
    </xf>
    <xf numFmtId="0" fontId="19" fillId="0" borderId="0" xfId="54" applyFill="1" applyAlignment="1">
      <alignment vertical="center"/>
      <protection/>
    </xf>
    <xf numFmtId="0" fontId="55" fillId="0" borderId="12" xfId="54" applyFont="1" applyBorder="1" applyAlignment="1">
      <alignment horizontal="center" vertical="center"/>
      <protection/>
    </xf>
    <xf numFmtId="0" fontId="60" fillId="0" borderId="132" xfId="54" applyFont="1" applyBorder="1" applyAlignment="1">
      <alignment vertical="center"/>
      <protection/>
    </xf>
    <xf numFmtId="0" fontId="60" fillId="0" borderId="133" xfId="54" applyFont="1" applyBorder="1" applyAlignment="1">
      <alignment vertical="center"/>
      <protection/>
    </xf>
    <xf numFmtId="3" fontId="60" fillId="0" borderId="134" xfId="54" applyNumberFormat="1" applyFont="1" applyBorder="1" applyAlignment="1">
      <alignment vertical="center"/>
      <protection/>
    </xf>
    <xf numFmtId="0" fontId="60" fillId="0" borderId="135" xfId="54" applyFont="1" applyBorder="1" applyAlignment="1">
      <alignment vertical="center"/>
      <protection/>
    </xf>
    <xf numFmtId="0" fontId="60" fillId="0" borderId="15" xfId="54" applyFont="1" applyBorder="1" applyAlignment="1">
      <alignment vertical="center"/>
      <protection/>
    </xf>
    <xf numFmtId="3" fontId="60" fillId="0" borderId="13" xfId="54" applyNumberFormat="1" applyFont="1" applyBorder="1" applyAlignment="1">
      <alignment vertical="center"/>
      <protection/>
    </xf>
    <xf numFmtId="0" fontId="33" fillId="0" borderId="119" xfId="54" applyFont="1" applyBorder="1" applyAlignment="1">
      <alignment horizontal="center" vertical="center"/>
      <protection/>
    </xf>
    <xf numFmtId="49" fontId="19" fillId="0" borderId="119" xfId="54" applyNumberFormat="1" applyFont="1" applyBorder="1" applyAlignment="1">
      <alignment horizontal="center" vertical="center"/>
      <protection/>
    </xf>
    <xf numFmtId="0" fontId="19" fillId="0" borderId="119" xfId="54" applyFont="1" applyBorder="1" applyAlignment="1">
      <alignment horizontal="center" vertical="center" wrapText="1"/>
      <protection/>
    </xf>
    <xf numFmtId="0" fontId="19" fillId="0" borderId="119" xfId="54" applyFont="1" applyBorder="1" applyAlignment="1">
      <alignment vertical="center"/>
      <protection/>
    </xf>
    <xf numFmtId="3" fontId="19" fillId="0" borderId="119" xfId="54" applyNumberFormat="1" applyFont="1" applyBorder="1" applyAlignment="1">
      <alignment vertical="center"/>
      <protection/>
    </xf>
    <xf numFmtId="0" fontId="19" fillId="0" borderId="0" xfId="54">
      <alignment/>
      <protection/>
    </xf>
    <xf numFmtId="0" fontId="19" fillId="0" borderId="119" xfId="54" applyFont="1" applyBorder="1" applyAlignment="1">
      <alignment horizontal="center" vertical="center"/>
      <protection/>
    </xf>
    <xf numFmtId="0" fontId="8" fillId="0" borderId="119" xfId="54" applyFont="1" applyBorder="1" applyAlignment="1">
      <alignment horizontal="center" vertical="center" wrapText="1"/>
      <protection/>
    </xf>
    <xf numFmtId="0" fontId="19" fillId="0" borderId="119" xfId="54" applyFont="1" applyBorder="1" applyAlignment="1">
      <alignment vertical="center" wrapText="1"/>
      <protection/>
    </xf>
    <xf numFmtId="0" fontId="33" fillId="0" borderId="12" xfId="54" applyFont="1" applyBorder="1" applyAlignment="1">
      <alignment horizontal="center" vertical="center"/>
      <protection/>
    </xf>
    <xf numFmtId="0" fontId="19" fillId="0" borderId="12" xfId="54" applyFont="1" applyBorder="1" applyAlignment="1">
      <alignment horizontal="center" vertical="center"/>
      <protection/>
    </xf>
    <xf numFmtId="0" fontId="19" fillId="0" borderId="12" xfId="54" applyFont="1" applyBorder="1" applyAlignment="1">
      <alignment vertical="center" wrapText="1"/>
      <protection/>
    </xf>
    <xf numFmtId="3" fontId="19" fillId="0" borderId="12" xfId="54" applyNumberFormat="1" applyFont="1" applyBorder="1" applyAlignment="1">
      <alignment vertical="center"/>
      <protection/>
    </xf>
    <xf numFmtId="0" fontId="60" fillId="0" borderId="39" xfId="54" applyFont="1" applyBorder="1" applyAlignment="1">
      <alignment vertical="center"/>
      <protection/>
    </xf>
    <xf numFmtId="0" fontId="60" fillId="0" borderId="136" xfId="54" applyFont="1" applyBorder="1" applyAlignment="1">
      <alignment vertical="center"/>
      <protection/>
    </xf>
    <xf numFmtId="4" fontId="60" fillId="0" borderId="38" xfId="54" applyNumberFormat="1" applyFont="1" applyBorder="1" applyAlignment="1">
      <alignment vertical="center"/>
      <protection/>
    </xf>
    <xf numFmtId="0" fontId="19" fillId="0" borderId="12" xfId="54" applyFont="1" applyBorder="1" applyAlignment="1">
      <alignment horizontal="center" vertical="center" wrapText="1"/>
      <protection/>
    </xf>
    <xf numFmtId="3" fontId="19" fillId="0" borderId="0" xfId="54" applyNumberFormat="1" applyAlignment="1">
      <alignment vertical="center"/>
      <protection/>
    </xf>
    <xf numFmtId="4" fontId="60" fillId="0" borderId="13" xfId="54" applyNumberFormat="1" applyFont="1" applyBorder="1" applyAlignment="1">
      <alignment vertical="center"/>
      <protection/>
    </xf>
    <xf numFmtId="4" fontId="19" fillId="0" borderId="12" xfId="54" applyNumberFormat="1" applyFont="1" applyBorder="1" applyAlignment="1">
      <alignment vertical="center"/>
      <protection/>
    </xf>
    <xf numFmtId="0" fontId="19" fillId="0" borderId="12" xfId="54" applyFont="1" applyBorder="1" applyAlignment="1">
      <alignment vertical="center" wrapText="1"/>
      <protection/>
    </xf>
    <xf numFmtId="0" fontId="33" fillId="0" borderId="12" xfId="54" applyFont="1" applyFill="1" applyBorder="1" applyAlignment="1">
      <alignment horizontal="center" vertical="center"/>
      <protection/>
    </xf>
    <xf numFmtId="49" fontId="19" fillId="0" borderId="12" xfId="54" applyNumberFormat="1" applyFont="1" applyFill="1" applyBorder="1" applyAlignment="1">
      <alignment horizontal="center" vertical="center"/>
      <protection/>
    </xf>
    <xf numFmtId="49" fontId="19" fillId="0" borderId="12" xfId="54" applyNumberFormat="1" applyFont="1" applyFill="1" applyBorder="1" applyAlignment="1">
      <alignment horizontal="center" vertical="center" wrapText="1"/>
      <protection/>
    </xf>
    <xf numFmtId="0" fontId="19" fillId="0" borderId="12" xfId="54" applyFont="1" applyFill="1" applyBorder="1" applyAlignment="1">
      <alignment vertical="center" wrapText="1"/>
      <protection/>
    </xf>
    <xf numFmtId="3" fontId="19" fillId="0" borderId="12" xfId="54" applyNumberFormat="1" applyFont="1" applyFill="1" applyBorder="1" applyAlignment="1">
      <alignment horizontal="right" vertical="center" wrapText="1"/>
      <protection/>
    </xf>
    <xf numFmtId="0" fontId="19" fillId="0" borderId="12" xfId="54" applyFill="1" applyBorder="1" applyAlignment="1">
      <alignment vertical="center" wrapText="1"/>
      <protection/>
    </xf>
    <xf numFmtId="49" fontId="19" fillId="0" borderId="12" xfId="54" applyNumberFormat="1" applyFill="1" applyBorder="1" applyAlignment="1">
      <alignment horizontal="center" vertical="center"/>
      <protection/>
    </xf>
    <xf numFmtId="0" fontId="19" fillId="0" borderId="12" xfId="54" applyBorder="1" applyAlignment="1">
      <alignment horizontal="center" vertical="center" wrapText="1"/>
      <protection/>
    </xf>
    <xf numFmtId="0" fontId="19" fillId="0" borderId="12" xfId="54" applyBorder="1" applyAlignment="1">
      <alignment vertical="center" wrapText="1"/>
      <protection/>
    </xf>
    <xf numFmtId="0" fontId="33" fillId="0" borderId="31" xfId="54" applyFont="1" applyBorder="1" applyAlignment="1">
      <alignment horizontal="center" vertical="center"/>
      <protection/>
    </xf>
    <xf numFmtId="0" fontId="19" fillId="0" borderId="31" xfId="54" applyFont="1" applyBorder="1" applyAlignment="1">
      <alignment horizontal="center" vertical="center"/>
      <protection/>
    </xf>
    <xf numFmtId="0" fontId="19" fillId="0" borderId="31" xfId="54" applyFont="1" applyBorder="1" applyAlignment="1">
      <alignment horizontal="center" vertical="center" wrapText="1"/>
      <protection/>
    </xf>
    <xf numFmtId="0" fontId="19" fillId="0" borderId="137" xfId="54" applyFont="1" applyBorder="1" applyAlignment="1">
      <alignment horizontal="center" vertical="center" wrapText="1"/>
      <protection/>
    </xf>
    <xf numFmtId="3" fontId="19" fillId="0" borderId="31" xfId="54" applyNumberFormat="1" applyFont="1" applyBorder="1" applyAlignment="1">
      <alignment vertical="center"/>
      <protection/>
    </xf>
    <xf numFmtId="4" fontId="19" fillId="0" borderId="0" xfId="54" applyNumberFormat="1" applyAlignment="1">
      <alignment vertical="center"/>
      <protection/>
    </xf>
    <xf numFmtId="0" fontId="33" fillId="0" borderId="99" xfId="57" applyFont="1" applyBorder="1" applyAlignment="1">
      <alignment horizontal="center" vertical="center"/>
      <protection/>
    </xf>
    <xf numFmtId="0" fontId="19" fillId="0" borderId="99" xfId="57" applyFont="1" applyBorder="1" applyAlignment="1">
      <alignment horizontal="center" vertical="center"/>
      <protection/>
    </xf>
    <xf numFmtId="0" fontId="19" fillId="0" borderId="99" xfId="57" applyFont="1" applyBorder="1" applyAlignment="1">
      <alignment horizontal="center" vertical="center" wrapText="1"/>
      <protection/>
    </xf>
    <xf numFmtId="3" fontId="19" fillId="0" borderId="99" xfId="57" applyNumberFormat="1" applyFont="1" applyBorder="1" applyAlignment="1">
      <alignment vertical="center"/>
      <protection/>
    </xf>
    <xf numFmtId="0" fontId="33" fillId="0" borderId="138" xfId="57" applyFont="1" applyBorder="1" applyAlignment="1">
      <alignment horizontal="center" vertical="center"/>
      <protection/>
    </xf>
    <xf numFmtId="0" fontId="19" fillId="0" borderId="138" xfId="57" applyFont="1" applyBorder="1" applyAlignment="1">
      <alignment horizontal="center" vertical="center"/>
      <protection/>
    </xf>
    <xf numFmtId="0" fontId="19" fillId="0" borderId="138" xfId="57" applyFont="1" applyBorder="1" applyAlignment="1">
      <alignment horizontal="center" vertical="center" wrapText="1"/>
      <protection/>
    </xf>
    <xf numFmtId="0" fontId="19" fillId="0" borderId="139" xfId="57" applyFont="1" applyBorder="1" applyAlignment="1">
      <alignment horizontal="center" vertical="center" wrapText="1"/>
      <protection/>
    </xf>
    <xf numFmtId="4" fontId="19" fillId="0" borderId="138" xfId="57" applyNumberFormat="1" applyFont="1" applyBorder="1" applyAlignment="1">
      <alignment vertical="center"/>
      <protection/>
    </xf>
    <xf numFmtId="4" fontId="40" fillId="0" borderId="40" xfId="54" applyNumberFormat="1" applyFont="1" applyBorder="1" applyAlignment="1">
      <alignment horizontal="center" vertical="center"/>
      <protection/>
    </xf>
    <xf numFmtId="0" fontId="8" fillId="0" borderId="0" xfId="54" applyFont="1">
      <alignment/>
      <protection/>
    </xf>
    <xf numFmtId="49" fontId="64" fillId="24" borderId="0" xfId="0" applyAlignment="1">
      <alignment horizontal="center" vertical="center" wrapText="1"/>
    </xf>
    <xf numFmtId="49" fontId="0" fillId="25" borderId="12" xfId="0" applyAlignment="1">
      <alignment horizontal="center" vertical="center" wrapText="1"/>
    </xf>
    <xf numFmtId="49" fontId="4" fillId="25" borderId="12" xfId="0" applyAlignment="1">
      <alignment horizontal="center" vertical="center" wrapText="1"/>
    </xf>
    <xf numFmtId="0" fontId="19" fillId="0" borderId="0" xfId="58" applyFill="1">
      <alignment/>
      <protection/>
    </xf>
    <xf numFmtId="49" fontId="4" fillId="25" borderId="12" xfId="0" applyFont="1" applyAlignment="1">
      <alignment horizontal="right" vertical="center" wrapText="1"/>
    </xf>
    <xf numFmtId="49" fontId="65" fillId="24" borderId="12" xfId="0" applyFont="1" applyAlignment="1">
      <alignment horizontal="right" vertical="center" wrapText="1"/>
    </xf>
    <xf numFmtId="49" fontId="4" fillId="25" borderId="12" xfId="0" applyFont="1" applyAlignment="1">
      <alignment horizontal="center" vertical="center" wrapText="1"/>
    </xf>
    <xf numFmtId="49" fontId="65" fillId="24" borderId="0" xfId="0" applyFont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49" fontId="0" fillId="25" borderId="12" xfId="0" applyFont="1" applyAlignment="1">
      <alignment horizontal="center" vertical="center" wrapText="1"/>
    </xf>
    <xf numFmtId="49" fontId="0" fillId="25" borderId="12" xfId="0" applyFont="1" applyAlignment="1">
      <alignment horizontal="right" vertical="center" wrapText="1"/>
    </xf>
    <xf numFmtId="49" fontId="65" fillId="24" borderId="140" xfId="0" applyFont="1" applyAlignment="1">
      <alignment horizontal="right" vertical="center" wrapText="1"/>
    </xf>
    <xf numFmtId="49" fontId="5" fillId="24" borderId="0" xfId="0" applyFont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49" fontId="4" fillId="24" borderId="12" xfId="0" applyFont="1" applyAlignment="1">
      <alignment horizontal="right" vertical="center" wrapText="1"/>
    </xf>
    <xf numFmtId="49" fontId="67" fillId="24" borderId="12" xfId="0" applyFont="1" applyAlignment="1">
      <alignment horizontal="right" vertical="center" wrapText="1"/>
    </xf>
    <xf numFmtId="49" fontId="66" fillId="24" borderId="12" xfId="0" applyFont="1" applyAlignment="1">
      <alignment horizontal="right" vertical="center" wrapText="1"/>
    </xf>
    <xf numFmtId="49" fontId="67" fillId="24" borderId="0" xfId="0" applyFont="1" applyAlignment="1">
      <alignment horizontal="center" vertical="center" wrapText="1"/>
    </xf>
    <xf numFmtId="0" fontId="66" fillId="0" borderId="0" xfId="0" applyNumberFormat="1" applyFont="1" applyFill="1" applyBorder="1" applyAlignment="1" applyProtection="1">
      <alignment horizontal="left"/>
      <protection locked="0"/>
    </xf>
    <xf numFmtId="0" fontId="19" fillId="0" borderId="17" xfId="55" applyBorder="1" applyAlignment="1">
      <alignment vertical="center"/>
      <protection/>
    </xf>
    <xf numFmtId="3" fontId="19" fillId="0" borderId="17" xfId="55" applyNumberFormat="1" applyBorder="1" applyAlignment="1">
      <alignment vertical="center"/>
      <protection/>
    </xf>
    <xf numFmtId="4" fontId="19" fillId="0" borderId="20" xfId="55" applyNumberFormat="1" applyBorder="1" applyAlignment="1">
      <alignment vertical="center"/>
      <protection/>
    </xf>
    <xf numFmtId="3" fontId="19" fillId="0" borderId="20" xfId="55" applyNumberFormat="1" applyBorder="1" applyAlignment="1">
      <alignment vertical="center"/>
      <protection/>
    </xf>
    <xf numFmtId="3" fontId="19" fillId="0" borderId="22" xfId="55" applyNumberFormat="1" applyBorder="1" applyAlignment="1">
      <alignment vertical="center"/>
      <protection/>
    </xf>
    <xf numFmtId="4" fontId="12" fillId="24" borderId="11" xfId="0" applyNumberFormat="1" applyFont="1" applyBorder="1" applyAlignment="1">
      <alignment horizontal="right" vertical="center" wrapText="1" shrinkToFit="1"/>
    </xf>
    <xf numFmtId="4" fontId="12" fillId="24" borderId="141" xfId="0" applyNumberFormat="1" applyFont="1" applyBorder="1" applyAlignment="1">
      <alignment horizontal="right" vertical="center" wrapText="1" shrinkToFit="1"/>
    </xf>
    <xf numFmtId="0" fontId="40" fillId="0" borderId="12" xfId="60" applyFont="1" applyFill="1" applyBorder="1" applyAlignment="1">
      <alignment horizontal="center" vertical="center" wrapText="1"/>
      <protection/>
    </xf>
    <xf numFmtId="0" fontId="37" fillId="0" borderId="142" xfId="60" applyFont="1" applyFill="1" applyBorder="1" applyAlignment="1">
      <alignment horizontal="center" vertical="center" wrapText="1"/>
      <protection/>
    </xf>
    <xf numFmtId="0" fontId="37" fillId="0" borderId="13" xfId="60" applyFont="1" applyFill="1" applyBorder="1" applyAlignment="1">
      <alignment horizontal="center" vertical="center" wrapText="1"/>
      <protection/>
    </xf>
    <xf numFmtId="0" fontId="38" fillId="0" borderId="143" xfId="60" applyFont="1" applyFill="1" applyBorder="1" applyAlignment="1">
      <alignment horizontal="center" vertical="center" wrapText="1"/>
      <protection/>
    </xf>
    <xf numFmtId="0" fontId="39" fillId="0" borderId="10" xfId="60" applyFont="1" applyFill="1" applyBorder="1" applyAlignment="1">
      <alignment horizontal="center" vertical="center" wrapText="1"/>
      <protection/>
    </xf>
    <xf numFmtId="0" fontId="37" fillId="0" borderId="12" xfId="60" applyFont="1" applyFill="1" applyBorder="1" applyAlignment="1">
      <alignment horizontal="center" vertical="center" wrapText="1"/>
      <protection/>
    </xf>
    <xf numFmtId="0" fontId="40" fillId="0" borderId="10" xfId="60" applyFont="1" applyFill="1" applyBorder="1" applyAlignment="1">
      <alignment horizontal="center" vertical="center" wrapText="1"/>
      <protection/>
    </xf>
    <xf numFmtId="0" fontId="6" fillId="25" borderId="142" xfId="0" applyBorder="1" applyAlignment="1">
      <alignment horizontal="center" vertical="center" wrapText="1" shrinkToFit="1"/>
    </xf>
    <xf numFmtId="0" fontId="6" fillId="25" borderId="142" xfId="0" applyBorder="1" applyAlignment="1">
      <alignment horizontal="left" vertical="center" wrapText="1" shrinkToFit="1"/>
    </xf>
    <xf numFmtId="4" fontId="6" fillId="25" borderId="10" xfId="0" applyNumberFormat="1" applyBorder="1" applyAlignment="1">
      <alignment horizontal="right" vertical="center" wrapText="1" shrinkToFit="1"/>
    </xf>
    <xf numFmtId="4" fontId="12" fillId="24" borderId="12" xfId="0" applyNumberFormat="1" applyFont="1" applyBorder="1" applyAlignment="1">
      <alignment horizontal="right" vertical="center" wrapText="1" shrinkToFit="1"/>
    </xf>
    <xf numFmtId="4" fontId="12" fillId="24" borderId="118" xfId="0" applyNumberFormat="1" applyFont="1" applyBorder="1" applyAlignment="1">
      <alignment horizontal="right" vertical="center" wrapText="1" shrinkToFit="1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4" fontId="12" fillId="24" borderId="14" xfId="0" applyNumberFormat="1" applyFont="1" applyBorder="1" applyAlignment="1">
      <alignment horizontal="right" vertical="center" wrapText="1" shrinkToFit="1"/>
    </xf>
    <xf numFmtId="4" fontId="12" fillId="24" borderId="144" xfId="0" applyNumberFormat="1" applyFont="1" applyBorder="1" applyAlignment="1">
      <alignment horizontal="right" vertical="center" wrapText="1" shrinkToFit="1"/>
    </xf>
    <xf numFmtId="0" fontId="12" fillId="24" borderId="145" xfId="0" applyFont="1" applyBorder="1" applyAlignment="1">
      <alignment horizontal="center" vertical="center" wrapText="1" shrinkToFit="1"/>
    </xf>
    <xf numFmtId="0" fontId="12" fillId="24" borderId="11" xfId="0" applyFont="1" applyBorder="1" applyAlignment="1">
      <alignment horizontal="center" vertical="center" wrapText="1" shrinkToFit="1"/>
    </xf>
    <xf numFmtId="0" fontId="12" fillId="24" borderId="104" xfId="0" applyFont="1" applyBorder="1" applyAlignment="1">
      <alignment horizontal="center" vertical="center" wrapText="1" shrinkToFit="1"/>
    </xf>
    <xf numFmtId="0" fontId="12" fillId="24" borderId="12" xfId="0" applyFont="1" applyBorder="1" applyAlignment="1">
      <alignment horizontal="center" vertical="center" wrapText="1" shrinkToFit="1"/>
    </xf>
    <xf numFmtId="0" fontId="12" fillId="24" borderId="146" xfId="0" applyFont="1" applyBorder="1" applyAlignment="1">
      <alignment horizontal="center" vertical="center" wrapText="1" shrinkToFit="1"/>
    </xf>
    <xf numFmtId="0" fontId="12" fillId="24" borderId="14" xfId="0" applyFont="1" applyBorder="1" applyAlignment="1">
      <alignment horizontal="center" vertical="center" wrapText="1" shrinkToFit="1"/>
    </xf>
    <xf numFmtId="0" fontId="6" fillId="25" borderId="12" xfId="0" applyFont="1" applyAlignment="1">
      <alignment horizontal="center" vertical="center" wrapText="1" shrinkToFit="1"/>
    </xf>
    <xf numFmtId="0" fontId="6" fillId="25" borderId="12" xfId="0" applyAlignment="1">
      <alignment horizontal="left" vertical="center" wrapText="1" shrinkToFit="1"/>
    </xf>
    <xf numFmtId="4" fontId="6" fillId="25" borderId="12" xfId="0" applyNumberFormat="1" applyAlignment="1">
      <alignment horizontal="right" vertical="center" wrapText="1" shrinkToFit="1"/>
    </xf>
    <xf numFmtId="0" fontId="6" fillId="25" borderId="13" xfId="0" applyAlignment="1">
      <alignment horizontal="center" vertical="center" wrapText="1" shrinkToFit="1"/>
    </xf>
    <xf numFmtId="0" fontId="6" fillId="25" borderId="13" xfId="0" applyAlignment="1">
      <alignment horizontal="left" vertical="center" wrapText="1" shrinkToFit="1"/>
    </xf>
    <xf numFmtId="4" fontId="6" fillId="25" borderId="13" xfId="0" applyNumberFormat="1" applyAlignment="1">
      <alignment horizontal="right" vertical="center" wrapText="1" shrinkToFit="1"/>
    </xf>
    <xf numFmtId="49" fontId="67" fillId="24" borderId="12" xfId="0" applyFont="1" applyAlignment="1">
      <alignment horizontal="center" vertical="center" wrapText="1"/>
    </xf>
    <xf numFmtId="2" fontId="67" fillId="24" borderId="16" xfId="0" applyNumberFormat="1" applyFont="1" applyBorder="1" applyAlignment="1">
      <alignment horizontal="left" vertical="top" wrapText="1"/>
    </xf>
    <xf numFmtId="2" fontId="67" fillId="24" borderId="88" xfId="0" applyNumberFormat="1" applyFont="1" applyBorder="1" applyAlignment="1">
      <alignment horizontal="left" vertical="top" wrapText="1"/>
    </xf>
    <xf numFmtId="2" fontId="67" fillId="24" borderId="116" xfId="0" applyNumberFormat="1" applyFont="1" applyBorder="1" applyAlignment="1">
      <alignment horizontal="left" vertical="top" wrapText="1"/>
    </xf>
    <xf numFmtId="49" fontId="67" fillId="24" borderId="12" xfId="0" applyFont="1" applyAlignment="1">
      <alignment horizontal="right" vertical="center" wrapText="1"/>
    </xf>
    <xf numFmtId="0" fontId="6" fillId="25" borderId="12" xfId="0" applyAlignment="1">
      <alignment horizontal="center" vertical="center" wrapText="1" shrinkToFit="1"/>
    </xf>
    <xf numFmtId="0" fontId="4" fillId="24" borderId="0" xfId="0" applyAlignment="1">
      <alignment horizontal="center" vertical="center" wrapText="1" shrinkToFit="1"/>
    </xf>
    <xf numFmtId="0" fontId="5" fillId="24" borderId="0" xfId="0" applyAlignment="1">
      <alignment horizontal="left" vertical="center" wrapText="1" shrinkToFit="1"/>
    </xf>
    <xf numFmtId="49" fontId="66" fillId="24" borderId="12" xfId="0" applyFont="1" applyAlignment="1">
      <alignment horizontal="right" vertical="center" wrapText="1"/>
    </xf>
    <xf numFmtId="0" fontId="8" fillId="0" borderId="54" xfId="61" applyFont="1" applyFill="1" applyBorder="1" applyAlignment="1">
      <alignment horizontal="left" vertical="center" wrapText="1"/>
      <protection/>
    </xf>
    <xf numFmtId="3" fontId="36" fillId="0" borderId="54" xfId="61" applyNumberFormat="1" applyFont="1" applyFill="1" applyBorder="1" applyAlignment="1">
      <alignment vertical="center" wrapText="1"/>
      <protection/>
    </xf>
    <xf numFmtId="3" fontId="46" fillId="0" borderId="54" xfId="61" applyNumberFormat="1" applyFont="1" applyFill="1" applyBorder="1" applyAlignment="1">
      <alignment vertical="center" wrapText="1"/>
      <protection/>
    </xf>
    <xf numFmtId="3" fontId="44" fillId="0" borderId="54" xfId="61" applyNumberFormat="1" applyFont="1" applyFill="1" applyBorder="1" applyAlignment="1">
      <alignment vertical="center" wrapText="1"/>
      <protection/>
    </xf>
    <xf numFmtId="0" fontId="54" fillId="0" borderId="0" xfId="58" applyFont="1" applyFill="1" applyAlignment="1">
      <alignment horizontal="center"/>
      <protection/>
    </xf>
    <xf numFmtId="0" fontId="1" fillId="0" borderId="0" xfId="0" applyNumberFormat="1" applyFill="1" applyBorder="1" applyAlignment="1" applyProtection="1">
      <alignment horizontal="left"/>
      <protection locked="0"/>
    </xf>
    <xf numFmtId="49" fontId="64" fillId="24" borderId="0" xfId="0" applyAlignment="1">
      <alignment horizontal="center" vertical="center" wrapText="1"/>
    </xf>
    <xf numFmtId="49" fontId="0" fillId="25" borderId="12" xfId="0" applyAlignment="1">
      <alignment horizontal="center" vertical="center" wrapText="1"/>
    </xf>
    <xf numFmtId="49" fontId="4" fillId="25" borderId="12" xfId="0" applyAlignment="1">
      <alignment horizontal="center" vertical="center" wrapText="1"/>
    </xf>
    <xf numFmtId="49" fontId="4" fillId="25" borderId="12" xfId="0" applyFont="1" applyAlignment="1">
      <alignment horizontal="center" vertical="center" wrapText="1"/>
    </xf>
    <xf numFmtId="49" fontId="65" fillId="24" borderId="12" xfId="0" applyFont="1" applyAlignment="1">
      <alignment horizontal="center" vertical="center" wrapText="1"/>
    </xf>
    <xf numFmtId="49" fontId="0" fillId="25" borderId="12" xfId="0" applyFont="1" applyAlignment="1">
      <alignment horizontal="center" vertical="center" wrapText="1"/>
    </xf>
    <xf numFmtId="49" fontId="0" fillId="25" borderId="12" xfId="0" applyFont="1" applyAlignment="1">
      <alignment horizontal="left" vertical="center" wrapText="1"/>
    </xf>
    <xf numFmtId="49" fontId="0" fillId="25" borderId="12" xfId="0" applyFont="1" applyAlignment="1">
      <alignment horizontal="right" vertical="center" wrapText="1"/>
    </xf>
    <xf numFmtId="49" fontId="4" fillId="25" borderId="12" xfId="0" applyFont="1" applyAlignment="1">
      <alignment horizontal="left" vertical="center" wrapText="1"/>
    </xf>
    <xf numFmtId="49" fontId="4" fillId="25" borderId="12" xfId="0" applyFont="1" applyAlignment="1">
      <alignment horizontal="right" vertical="center" wrapText="1"/>
    </xf>
    <xf numFmtId="49" fontId="65" fillId="24" borderId="147" xfId="0" applyFont="1" applyAlignment="1">
      <alignment horizontal="right" vertical="center" wrapText="1"/>
    </xf>
    <xf numFmtId="49" fontId="65" fillId="24" borderId="12" xfId="0" applyFont="1" applyAlignment="1">
      <alignment horizontal="right" vertical="center" wrapText="1"/>
    </xf>
    <xf numFmtId="49" fontId="4" fillId="24" borderId="12" xfId="0" applyFont="1" applyAlignment="1">
      <alignment horizontal="center" vertical="center" wrapText="1"/>
    </xf>
    <xf numFmtId="49" fontId="4" fillId="24" borderId="12" xfId="0" applyFont="1" applyAlignment="1">
      <alignment horizontal="left" vertical="center" wrapText="1"/>
    </xf>
    <xf numFmtId="49" fontId="4" fillId="24" borderId="12" xfId="0" applyFont="1" applyAlignment="1">
      <alignment horizontal="right" vertical="center" wrapText="1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49" fontId="66" fillId="24" borderId="12" xfId="0" applyFont="1" applyAlignment="1">
      <alignment horizontal="center" vertical="center" wrapText="1"/>
    </xf>
    <xf numFmtId="49" fontId="66" fillId="24" borderId="12" xfId="0" applyFont="1" applyAlignment="1">
      <alignment horizontal="left" vertical="center" wrapText="1"/>
    </xf>
    <xf numFmtId="0" fontId="41" fillId="0" borderId="10" xfId="60" applyFont="1" applyFill="1" applyBorder="1" applyAlignment="1">
      <alignment horizontal="center" vertical="center" wrapText="1"/>
      <protection/>
    </xf>
    <xf numFmtId="0" fontId="37" fillId="0" borderId="148" xfId="60" applyFont="1" applyFill="1" applyBorder="1" applyAlignment="1">
      <alignment horizontal="center" vertical="center" wrapText="1"/>
      <protection/>
    </xf>
    <xf numFmtId="3" fontId="8" fillId="0" borderId="149" xfId="60" applyNumberFormat="1" applyFont="1" applyFill="1" applyBorder="1" applyAlignment="1">
      <alignment horizontal="center" vertical="center" wrapText="1"/>
      <protection/>
    </xf>
    <xf numFmtId="3" fontId="8" fillId="0" borderId="37" xfId="60" applyNumberFormat="1" applyFont="1" applyFill="1" applyBorder="1" applyAlignment="1">
      <alignment horizontal="center" vertical="center" wrapText="1"/>
      <protection/>
    </xf>
    <xf numFmtId="3" fontId="8" fillId="0" borderId="51" xfId="60" applyNumberFormat="1" applyFont="1" applyFill="1" applyBorder="1" applyAlignment="1">
      <alignment horizontal="center" vertical="center" wrapText="1"/>
      <protection/>
    </xf>
    <xf numFmtId="3" fontId="8" fillId="0" borderId="29" xfId="60" applyNumberFormat="1" applyFont="1" applyFill="1" applyBorder="1" applyAlignment="1">
      <alignment horizontal="center" vertical="center" wrapText="1"/>
      <protection/>
    </xf>
    <xf numFmtId="0" fontId="43" fillId="0" borderId="150" xfId="56" applyFont="1" applyFill="1" applyBorder="1" applyAlignment="1">
      <alignment horizontal="left" vertical="center" wrapText="1"/>
      <protection/>
    </xf>
    <xf numFmtId="0" fontId="43" fillId="0" borderId="151" xfId="56" applyFont="1" applyFill="1" applyBorder="1" applyAlignment="1">
      <alignment horizontal="left" vertical="center" wrapText="1"/>
      <protection/>
    </xf>
    <xf numFmtId="0" fontId="37" fillId="0" borderId="152" xfId="60" applyFont="1" applyFill="1" applyBorder="1" applyAlignment="1">
      <alignment horizontal="center" vertical="center" wrapText="1"/>
      <protection/>
    </xf>
    <xf numFmtId="0" fontId="37" fillId="0" borderId="153" xfId="60" applyFont="1" applyFill="1" applyBorder="1" applyAlignment="1">
      <alignment horizontal="center" vertical="center" wrapText="1"/>
      <protection/>
    </xf>
    <xf numFmtId="0" fontId="8" fillId="0" borderId="154" xfId="60" applyFont="1" applyFill="1" applyBorder="1" applyAlignment="1">
      <alignment horizontal="center" vertical="center" wrapText="1"/>
      <protection/>
    </xf>
    <xf numFmtId="0" fontId="8" fillId="0" borderId="149" xfId="60" applyFont="1" applyFill="1" applyBorder="1" applyAlignment="1">
      <alignment horizontal="center" vertical="center" wrapText="1"/>
      <protection/>
    </xf>
    <xf numFmtId="0" fontId="37" fillId="0" borderId="152" xfId="56" applyFont="1" applyFill="1" applyBorder="1" applyAlignment="1">
      <alignment horizontal="center" vertical="center" wrapText="1"/>
      <protection/>
    </xf>
    <xf numFmtId="0" fontId="37" fillId="0" borderId="153" xfId="56" applyFont="1" applyFill="1" applyBorder="1" applyAlignment="1">
      <alignment horizontal="center" vertical="center" wrapText="1"/>
      <protection/>
    </xf>
    <xf numFmtId="3" fontId="9" fillId="0" borderId="155" xfId="60" applyNumberFormat="1" applyFont="1" applyFill="1" applyBorder="1" applyAlignment="1">
      <alignment horizontal="center" vertical="center" wrapText="1"/>
      <protection/>
    </xf>
    <xf numFmtId="3" fontId="9" fillId="0" borderId="17" xfId="60" applyNumberFormat="1" applyFont="1" applyFill="1" applyBorder="1" applyAlignment="1">
      <alignment horizontal="center" vertical="center" wrapText="1"/>
      <protection/>
    </xf>
    <xf numFmtId="3" fontId="9" fillId="0" borderId="36" xfId="60" applyNumberFormat="1" applyFont="1" applyFill="1" applyBorder="1" applyAlignment="1">
      <alignment horizontal="center" vertical="center" wrapText="1"/>
      <protection/>
    </xf>
    <xf numFmtId="0" fontId="43" fillId="0" borderId="150" xfId="60" applyFont="1" applyFill="1" applyBorder="1" applyAlignment="1">
      <alignment horizontal="left" vertical="center" wrapText="1"/>
      <protection/>
    </xf>
    <xf numFmtId="0" fontId="43" fillId="0" borderId="156" xfId="56" applyFont="1" applyFill="1" applyBorder="1" applyAlignment="1">
      <alignment horizontal="left" vertical="center" wrapText="1"/>
      <protection/>
    </xf>
    <xf numFmtId="0" fontId="43" fillId="0" borderId="157" xfId="60" applyFont="1" applyFill="1" applyBorder="1" applyAlignment="1">
      <alignment horizontal="left" vertical="center" wrapText="1"/>
      <protection/>
    </xf>
    <xf numFmtId="0" fontId="43" fillId="0" borderId="151" xfId="61" applyFont="1" applyFill="1" applyBorder="1" applyAlignment="1">
      <alignment horizontal="left" vertical="center" wrapText="1"/>
      <protection/>
    </xf>
    <xf numFmtId="0" fontId="37" fillId="0" borderId="158" xfId="56" applyFont="1" applyFill="1" applyBorder="1" applyAlignment="1">
      <alignment horizontal="center" vertical="center" wrapText="1"/>
      <protection/>
    </xf>
    <xf numFmtId="0" fontId="43" fillId="0" borderId="157" xfId="56" applyFont="1" applyFill="1" applyBorder="1" applyAlignment="1">
      <alignment horizontal="left" vertical="center" wrapText="1"/>
      <protection/>
    </xf>
    <xf numFmtId="0" fontId="43" fillId="0" borderId="151" xfId="60" applyFont="1" applyFill="1" applyBorder="1" applyAlignment="1">
      <alignment horizontal="left" vertical="center" wrapText="1"/>
      <protection/>
    </xf>
    <xf numFmtId="3" fontId="8" fillId="0" borderId="30" xfId="60" applyNumberFormat="1" applyFont="1" applyFill="1" applyBorder="1" applyAlignment="1">
      <alignment horizontal="center" vertical="center" wrapText="1"/>
      <protection/>
    </xf>
    <xf numFmtId="0" fontId="8" fillId="0" borderId="19" xfId="60" applyFont="1" applyFill="1" applyBorder="1" applyAlignment="1">
      <alignment horizontal="center" vertical="center" wrapText="1"/>
      <protection/>
    </xf>
    <xf numFmtId="0" fontId="8" fillId="0" borderId="29" xfId="60" applyFont="1" applyFill="1" applyBorder="1" applyAlignment="1">
      <alignment horizontal="center" vertical="center" wrapText="1"/>
      <protection/>
    </xf>
    <xf numFmtId="0" fontId="8" fillId="0" borderId="30" xfId="60" applyFont="1" applyFill="1" applyBorder="1" applyAlignment="1">
      <alignment horizontal="center" vertical="center" wrapText="1"/>
      <protection/>
    </xf>
    <xf numFmtId="3" fontId="9" fillId="0" borderId="10" xfId="60" applyNumberFormat="1" applyFont="1" applyFill="1" applyBorder="1" applyAlignment="1">
      <alignment horizontal="center" vertical="center" wrapText="1"/>
      <protection/>
    </xf>
    <xf numFmtId="3" fontId="9" fillId="0" borderId="27" xfId="60" applyNumberFormat="1" applyFont="1" applyFill="1" applyBorder="1" applyAlignment="1">
      <alignment horizontal="center" vertical="center" wrapText="1"/>
      <protection/>
    </xf>
    <xf numFmtId="3" fontId="8" fillId="0" borderId="19" xfId="60" applyNumberFormat="1" applyFont="1" applyFill="1" applyBorder="1" applyAlignment="1">
      <alignment horizontal="center" vertical="center" wrapText="1"/>
      <protection/>
    </xf>
    <xf numFmtId="3" fontId="8" fillId="0" borderId="25" xfId="60" applyNumberFormat="1" applyFont="1" applyFill="1" applyBorder="1" applyAlignment="1">
      <alignment horizontal="center" vertical="center" wrapText="1"/>
      <protection/>
    </xf>
    <xf numFmtId="3" fontId="44" fillId="0" borderId="155" xfId="61" applyNumberFormat="1" applyFont="1" applyFill="1" applyBorder="1" applyAlignment="1">
      <alignment horizontal="center" vertical="center" wrapText="1"/>
      <protection/>
    </xf>
    <xf numFmtId="3" fontId="44" fillId="0" borderId="36" xfId="61" applyNumberFormat="1" applyFont="1" applyFill="1" applyBorder="1" applyAlignment="1">
      <alignment horizontal="center" vertical="center" wrapText="1"/>
      <protection/>
    </xf>
    <xf numFmtId="0" fontId="37" fillId="0" borderId="158" xfId="60" applyFont="1" applyFill="1" applyBorder="1" applyAlignment="1">
      <alignment horizontal="center" vertical="center" wrapText="1"/>
      <protection/>
    </xf>
    <xf numFmtId="0" fontId="43" fillId="0" borderId="159" xfId="60" applyFont="1" applyFill="1" applyBorder="1" applyAlignment="1">
      <alignment horizontal="left" vertical="center" wrapText="1"/>
      <protection/>
    </xf>
    <xf numFmtId="4" fontId="48" fillId="0" borderId="0" xfId="60" applyNumberFormat="1" applyFont="1" applyFill="1" applyAlignment="1">
      <alignment horizontal="center"/>
      <protection/>
    </xf>
    <xf numFmtId="0" fontId="34" fillId="0" borderId="0" xfId="60" applyFont="1" applyBorder="1" applyAlignment="1">
      <alignment horizontal="center" vertical="center" wrapText="1"/>
      <protection/>
    </xf>
    <xf numFmtId="0" fontId="53" fillId="0" borderId="0" xfId="52" applyFont="1" applyBorder="1" applyAlignment="1">
      <alignment horizontal="center" vertical="top"/>
      <protection/>
    </xf>
    <xf numFmtId="3" fontId="45" fillId="0" borderId="75" xfId="52" applyNumberFormat="1" applyFont="1" applyBorder="1" applyAlignment="1">
      <alignment horizontal="center" vertical="center"/>
      <protection/>
    </xf>
    <xf numFmtId="3" fontId="45" fillId="0" borderId="160" xfId="52" applyNumberFormat="1" applyFont="1" applyBorder="1" applyAlignment="1">
      <alignment horizontal="center" vertical="center"/>
      <protection/>
    </xf>
    <xf numFmtId="3" fontId="45" fillId="0" borderId="66" xfId="52" applyNumberFormat="1" applyFont="1" applyBorder="1" applyAlignment="1">
      <alignment horizontal="center" vertical="center"/>
      <protection/>
    </xf>
    <xf numFmtId="3" fontId="45" fillId="0" borderId="161" xfId="52" applyNumberFormat="1" applyFont="1" applyBorder="1" applyAlignment="1">
      <alignment horizontal="center" vertical="center"/>
      <protection/>
    </xf>
    <xf numFmtId="0" fontId="37" fillId="0" borderId="0" xfId="52" applyFont="1" applyBorder="1" applyAlignment="1">
      <alignment horizontal="center" vertical="center" wrapText="1"/>
      <protection/>
    </xf>
    <xf numFmtId="0" fontId="10" fillId="0" borderId="73" xfId="52" applyFont="1" applyBorder="1" applyAlignment="1">
      <alignment horizontal="center" vertical="center" wrapText="1"/>
      <protection/>
    </xf>
    <xf numFmtId="0" fontId="10" fillId="0" borderId="75" xfId="52" applyFont="1" applyBorder="1" applyAlignment="1">
      <alignment horizontal="center" vertical="center" wrapText="1"/>
      <protection/>
    </xf>
    <xf numFmtId="0" fontId="10" fillId="0" borderId="162" xfId="52" applyFont="1" applyBorder="1" applyAlignment="1">
      <alignment horizontal="center" vertical="center" wrapText="1"/>
      <protection/>
    </xf>
    <xf numFmtId="0" fontId="10" fillId="0" borderId="160" xfId="52" applyFont="1" applyBorder="1" applyAlignment="1">
      <alignment horizontal="center" vertical="center" wrapText="1"/>
      <protection/>
    </xf>
    <xf numFmtId="3" fontId="8" fillId="0" borderId="75" xfId="52" applyNumberFormat="1" applyBorder="1" applyAlignment="1">
      <alignment horizontal="center" vertical="center"/>
      <protection/>
    </xf>
    <xf numFmtId="3" fontId="8" fillId="0" borderId="160" xfId="52" applyNumberFormat="1" applyBorder="1" applyAlignment="1">
      <alignment horizontal="center" vertical="center"/>
      <protection/>
    </xf>
    <xf numFmtId="0" fontId="45" fillId="0" borderId="66" xfId="52" applyFont="1" applyBorder="1" applyAlignment="1">
      <alignment horizontal="right" vertical="center"/>
      <protection/>
    </xf>
    <xf numFmtId="0" fontId="45" fillId="0" borderId="161" xfId="52" applyFont="1" applyBorder="1" applyAlignment="1">
      <alignment horizontal="right" vertical="center"/>
      <protection/>
    </xf>
    <xf numFmtId="0" fontId="8" fillId="0" borderId="73" xfId="52" applyBorder="1" applyAlignment="1">
      <alignment horizontal="center" vertical="center"/>
      <protection/>
    </xf>
    <xf numFmtId="0" fontId="8" fillId="0" borderId="75" xfId="52" applyFont="1" applyBorder="1" applyAlignment="1">
      <alignment horizontal="center" vertical="center" wrapText="1"/>
      <protection/>
    </xf>
    <xf numFmtId="0" fontId="8" fillId="0" borderId="75" xfId="52" applyBorder="1" applyAlignment="1">
      <alignment horizontal="center" vertical="center"/>
      <protection/>
    </xf>
    <xf numFmtId="3" fontId="45" fillId="0" borderId="163" xfId="52" applyNumberFormat="1" applyFont="1" applyBorder="1" applyAlignment="1">
      <alignment horizontal="center" vertical="center"/>
      <protection/>
    </xf>
    <xf numFmtId="3" fontId="45" fillId="0" borderId="164" xfId="52" applyNumberFormat="1" applyFont="1" applyBorder="1" applyAlignment="1">
      <alignment horizontal="center" vertical="center"/>
      <protection/>
    </xf>
    <xf numFmtId="0" fontId="8" fillId="0" borderId="165" xfId="52" applyBorder="1" applyAlignment="1">
      <alignment horizontal="center" vertical="center"/>
      <protection/>
    </xf>
    <xf numFmtId="0" fontId="8" fillId="0" borderId="166" xfId="52" applyBorder="1" applyAlignment="1">
      <alignment horizontal="center" vertical="center"/>
      <protection/>
    </xf>
    <xf numFmtId="0" fontId="8" fillId="0" borderId="80" xfId="52" applyFont="1" applyBorder="1" applyAlignment="1">
      <alignment horizontal="center" vertical="center"/>
      <protection/>
    </xf>
    <xf numFmtId="0" fontId="8" fillId="0" borderId="91" xfId="52" applyBorder="1" applyAlignment="1">
      <alignment horizontal="center" vertical="center"/>
      <protection/>
    </xf>
    <xf numFmtId="3" fontId="8" fillId="0" borderId="80" xfId="52" applyNumberFormat="1" applyBorder="1" applyAlignment="1">
      <alignment horizontal="center" vertical="center"/>
      <protection/>
    </xf>
    <xf numFmtId="3" fontId="8" fillId="0" borderId="91" xfId="52" applyNumberFormat="1" applyBorder="1" applyAlignment="1">
      <alignment horizontal="center" vertical="center"/>
      <protection/>
    </xf>
    <xf numFmtId="3" fontId="8" fillId="0" borderId="167" xfId="52" applyNumberFormat="1" applyBorder="1" applyAlignment="1">
      <alignment horizontal="center" vertical="center"/>
      <protection/>
    </xf>
    <xf numFmtId="3" fontId="8" fillId="0" borderId="168" xfId="52" applyNumberFormat="1" applyBorder="1" applyAlignment="1">
      <alignment horizontal="center" vertical="center"/>
      <protection/>
    </xf>
    <xf numFmtId="0" fontId="8" fillId="0" borderId="169" xfId="52" applyBorder="1" applyAlignment="1">
      <alignment horizontal="center" vertical="center"/>
      <protection/>
    </xf>
    <xf numFmtId="0" fontId="8" fillId="0" borderId="74" xfId="52" applyBorder="1" applyAlignment="1">
      <alignment horizontal="center" vertical="center"/>
      <protection/>
    </xf>
    <xf numFmtId="3" fontId="8" fillId="0" borderId="74" xfId="52" applyNumberFormat="1" applyBorder="1" applyAlignment="1">
      <alignment horizontal="center" vertical="center"/>
      <protection/>
    </xf>
    <xf numFmtId="3" fontId="8" fillId="0" borderId="78" xfId="52" applyNumberFormat="1" applyBorder="1" applyAlignment="1">
      <alignment horizontal="center" vertical="center"/>
      <protection/>
    </xf>
    <xf numFmtId="0" fontId="8" fillId="0" borderId="78" xfId="52" applyBorder="1" applyAlignment="1">
      <alignment horizontal="center" vertical="center"/>
      <protection/>
    </xf>
    <xf numFmtId="3" fontId="8" fillId="0" borderId="170" xfId="52" applyNumberFormat="1" applyBorder="1" applyAlignment="1">
      <alignment horizontal="center" vertical="center"/>
      <protection/>
    </xf>
    <xf numFmtId="0" fontId="8" fillId="0" borderId="171" xfId="52" applyBorder="1" applyAlignment="1">
      <alignment horizontal="center" vertical="center"/>
      <protection/>
    </xf>
    <xf numFmtId="0" fontId="8" fillId="0" borderId="172" xfId="52" applyBorder="1" applyAlignment="1">
      <alignment horizontal="center" vertical="center"/>
      <protection/>
    </xf>
    <xf numFmtId="3" fontId="8" fillId="0" borderId="171" xfId="52" applyNumberFormat="1" applyBorder="1" applyAlignment="1">
      <alignment horizontal="center" vertical="center"/>
      <protection/>
    </xf>
    <xf numFmtId="3" fontId="8" fillId="0" borderId="172" xfId="52" applyNumberFormat="1" applyBorder="1" applyAlignment="1">
      <alignment horizontal="center" vertical="center"/>
      <protection/>
    </xf>
    <xf numFmtId="0" fontId="34" fillId="0" borderId="0" xfId="54" applyFont="1" applyBorder="1" applyAlignment="1">
      <alignment horizontal="center" vertical="center" wrapText="1"/>
      <protection/>
    </xf>
    <xf numFmtId="0" fontId="40" fillId="0" borderId="158" xfId="54" applyFont="1" applyBorder="1" applyAlignment="1">
      <alignment horizontal="center" vertical="center"/>
      <protection/>
    </xf>
    <xf numFmtId="0" fontId="19" fillId="0" borderId="10" xfId="54" applyFont="1" applyBorder="1" applyAlignment="1">
      <alignment horizontal="center" vertical="center" wrapText="1"/>
      <protection/>
    </xf>
    <xf numFmtId="0" fontId="19" fillId="0" borderId="17" xfId="54" applyFont="1" applyBorder="1" applyAlignment="1">
      <alignment horizontal="center" vertical="center" wrapText="1"/>
      <protection/>
    </xf>
    <xf numFmtId="0" fontId="19" fillId="0" borderId="173" xfId="54" applyFont="1" applyBorder="1" applyAlignment="1">
      <alignment horizontal="center" vertical="center" wrapText="1"/>
      <protection/>
    </xf>
    <xf numFmtId="0" fontId="40" fillId="0" borderId="66" xfId="54" applyFont="1" applyBorder="1" applyAlignment="1">
      <alignment horizontal="right" vertical="center"/>
      <protection/>
    </xf>
    <xf numFmtId="0" fontId="40" fillId="0" borderId="136" xfId="54" applyFont="1" applyBorder="1" applyAlignment="1">
      <alignment horizontal="right" vertical="center"/>
      <protection/>
    </xf>
    <xf numFmtId="0" fontId="40" fillId="0" borderId="67" xfId="54" applyFont="1" applyBorder="1" applyAlignment="1">
      <alignment horizontal="right" vertical="center"/>
      <protection/>
    </xf>
    <xf numFmtId="0" fontId="56" fillId="0" borderId="71" xfId="55" applyFont="1" applyBorder="1" applyAlignment="1">
      <alignment horizontal="center" vertical="center"/>
      <protection/>
    </xf>
    <xf numFmtId="0" fontId="56" fillId="0" borderId="21" xfId="55" applyFont="1" applyBorder="1" applyAlignment="1">
      <alignment horizontal="center" vertical="center"/>
      <protection/>
    </xf>
    <xf numFmtId="0" fontId="54" fillId="0" borderId="0" xfId="55" applyFont="1" applyBorder="1" applyAlignment="1">
      <alignment horizontal="center" vertical="center" wrapText="1"/>
      <protection/>
    </xf>
    <xf numFmtId="0" fontId="40" fillId="20" borderId="12" xfId="55" applyFont="1" applyFill="1" applyBorder="1" applyAlignment="1">
      <alignment horizontal="center" vertical="center"/>
      <protection/>
    </xf>
    <xf numFmtId="0" fontId="40" fillId="20" borderId="12" xfId="55" applyFont="1" applyFill="1" applyBorder="1" applyAlignment="1">
      <alignment horizontal="center" vertical="center" wrapText="1"/>
      <protection/>
    </xf>
    <xf numFmtId="0" fontId="58" fillId="6" borderId="104" xfId="53" applyFont="1" applyFill="1" applyBorder="1" applyAlignment="1">
      <alignment horizontal="center" vertical="center" wrapText="1"/>
      <protection/>
    </xf>
    <xf numFmtId="0" fontId="58" fillId="6" borderId="62" xfId="53" applyFont="1" applyFill="1" applyBorder="1" applyAlignment="1">
      <alignment horizontal="center" vertical="center" wrapText="1"/>
      <protection/>
    </xf>
    <xf numFmtId="0" fontId="37" fillId="0" borderId="174" xfId="53" applyFont="1" applyBorder="1" applyAlignment="1">
      <alignment horizontal="center" vertical="center"/>
      <protection/>
    </xf>
    <xf numFmtId="0" fontId="37" fillId="0" borderId="175" xfId="53" applyFont="1" applyBorder="1" applyAlignment="1">
      <alignment horizontal="center" vertical="center"/>
      <protection/>
    </xf>
    <xf numFmtId="0" fontId="8" fillId="0" borderId="0" xfId="53" applyBorder="1" applyAlignment="1">
      <alignment horizontal="left" wrapText="1"/>
      <protection/>
    </xf>
    <xf numFmtId="0" fontId="57" fillId="0" borderId="115" xfId="53" applyFont="1" applyBorder="1" applyAlignment="1">
      <alignment horizontal="center" vertical="center" wrapText="1"/>
      <protection/>
    </xf>
    <xf numFmtId="0" fontId="57" fillId="0" borderId="88" xfId="53" applyFont="1" applyBorder="1" applyAlignment="1">
      <alignment horizontal="center" vertical="center" wrapText="1"/>
      <protection/>
    </xf>
    <xf numFmtId="0" fontId="57" fillId="0" borderId="116" xfId="53" applyFont="1" applyBorder="1" applyAlignment="1">
      <alignment horizontal="center" vertical="center" wrapText="1"/>
      <protection/>
    </xf>
    <xf numFmtId="0" fontId="54" fillId="0" borderId="0" xfId="53" applyFont="1" applyBorder="1" applyAlignment="1">
      <alignment horizontal="center"/>
      <protection/>
    </xf>
    <xf numFmtId="0" fontId="7" fillId="0" borderId="0" xfId="53" applyFont="1" applyBorder="1" applyAlignment="1">
      <alignment horizontal="center"/>
      <protection/>
    </xf>
    <xf numFmtId="0" fontId="58" fillId="6" borderId="176" xfId="53" applyFont="1" applyFill="1" applyBorder="1" applyAlignment="1">
      <alignment horizontal="center" vertical="center" wrapText="1"/>
      <protection/>
    </xf>
    <xf numFmtId="0" fontId="58" fillId="6" borderId="177" xfId="53" applyFont="1" applyFill="1" applyBorder="1" applyAlignment="1">
      <alignment horizontal="center" vertical="center" wrapText="1"/>
      <protection/>
    </xf>
    <xf numFmtId="0" fontId="57" fillId="0" borderId="12" xfId="57" applyFont="1" applyBorder="1" applyAlignment="1">
      <alignment horizontal="center" vertical="center"/>
      <protection/>
    </xf>
    <xf numFmtId="0" fontId="56" fillId="0" borderId="16" xfId="57" applyFont="1" applyBorder="1" applyAlignment="1">
      <alignment horizontal="center" vertical="center"/>
      <protection/>
    </xf>
    <xf numFmtId="0" fontId="54" fillId="0" borderId="0" xfId="57" applyFont="1" applyBorder="1" applyAlignment="1">
      <alignment horizontal="center" vertical="center" wrapText="1"/>
      <protection/>
    </xf>
    <xf numFmtId="0" fontId="40" fillId="0" borderId="12" xfId="57" applyFont="1" applyFill="1" applyBorder="1" applyAlignment="1">
      <alignment horizontal="center" vertical="center"/>
      <protection/>
    </xf>
    <xf numFmtId="0" fontId="40" fillId="0" borderId="12" xfId="57" applyFont="1" applyFill="1" applyBorder="1" applyAlignment="1">
      <alignment horizontal="center" vertical="center" wrapText="1"/>
      <protection/>
    </xf>
    <xf numFmtId="0" fontId="56" fillId="0" borderId="71" xfId="57" applyFont="1" applyBorder="1" applyAlignment="1">
      <alignment horizontal="right" vertical="center"/>
      <protection/>
    </xf>
    <xf numFmtId="0" fontId="56" fillId="0" borderId="178" xfId="57" applyFont="1" applyBorder="1" applyAlignment="1">
      <alignment horizontal="right" vertical="center"/>
      <protection/>
    </xf>
    <xf numFmtId="0" fontId="56" fillId="0" borderId="179" xfId="57" applyFont="1" applyBorder="1" applyAlignment="1">
      <alignment horizontal="right" vertical="center"/>
      <protection/>
    </xf>
    <xf numFmtId="0" fontId="40" fillId="0" borderId="10" xfId="57" applyFont="1" applyFill="1" applyBorder="1" applyAlignment="1">
      <alignment horizontal="center" vertical="center"/>
      <protection/>
    </xf>
    <xf numFmtId="0" fontId="40" fillId="0" borderId="17" xfId="57" applyFont="1" applyFill="1" applyBorder="1" applyAlignment="1">
      <alignment horizontal="center" vertical="center"/>
      <protection/>
    </xf>
    <xf numFmtId="0" fontId="40" fillId="0" borderId="27" xfId="57" applyFont="1" applyFill="1" applyBorder="1" applyAlignment="1">
      <alignment horizontal="center" vertical="center"/>
      <protection/>
    </xf>
  </cellXfs>
  <cellStyles count="5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fundusz budżet-4" xfId="52"/>
    <cellStyle name="Normalny_Kopia zalaczniki" xfId="53"/>
    <cellStyle name="Normalny_U_98_budzet 2012" xfId="54"/>
    <cellStyle name="Normalny_U112_zm_budz" xfId="55"/>
    <cellStyle name="Normalny_U15_Zal_budzet_2011" xfId="56"/>
    <cellStyle name="Normalny_Zał_budżet_252" xfId="57"/>
    <cellStyle name="Normalny_Zarz60_Zał1_Projekt załączników2007" xfId="58"/>
    <cellStyle name="Normalny_Zarz78_Zał1_Projekt załączników2008" xfId="59"/>
    <cellStyle name="Normalny_Zarz78_Zał1_Projekt załączników2008_U15_Zal_budzet_2011" xfId="60"/>
    <cellStyle name="Normalny_Zarz78_Zał1_Projekt załączników2008_U86_zm_budz" xfId="61"/>
    <cellStyle name="Obliczenia" xfId="62"/>
    <cellStyle name="Followed Hyperlink" xfId="63"/>
    <cellStyle name="Percent" xfId="64"/>
    <cellStyle name="Suma" xfId="65"/>
    <cellStyle name="Tekst objaśnienia" xfId="66"/>
    <cellStyle name="Tekst ostrzeżenia" xfId="67"/>
    <cellStyle name="Tytuł" xfId="68"/>
    <cellStyle name="Uwaga" xfId="69"/>
    <cellStyle name="Currency" xfId="70"/>
    <cellStyle name="Currency [0]" xfId="71"/>
    <cellStyle name="Złe" xfId="7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showGridLines="0" workbookViewId="0" topLeftCell="A1">
      <selection activeCell="R14" sqref="R14"/>
    </sheetView>
  </sheetViews>
  <sheetFormatPr defaultColWidth="9.33203125" defaultRowHeight="12.75"/>
  <cols>
    <col min="1" max="1" width="4.33203125" style="0" customWidth="1"/>
    <col min="2" max="2" width="8.83203125" style="0" customWidth="1"/>
    <col min="3" max="3" width="4.33203125" style="0" customWidth="1"/>
    <col min="4" max="4" width="2.16015625" style="0" customWidth="1"/>
    <col min="5" max="5" width="4.33203125" style="0" customWidth="1"/>
    <col min="6" max="6" width="32.5" style="0" customWidth="1"/>
    <col min="7" max="7" width="7.66015625" style="0" customWidth="1"/>
    <col min="8" max="8" width="1.171875" style="0" customWidth="1"/>
    <col min="9" max="10" width="12.33203125" style="0" customWidth="1"/>
    <col min="11" max="11" width="1.171875" style="0" customWidth="1"/>
    <col min="12" max="12" width="5.66015625" style="0" customWidth="1"/>
    <col min="13" max="13" width="4" style="0" customWidth="1"/>
    <col min="14" max="14" width="0.4921875" style="0" customWidth="1"/>
    <col min="15" max="15" width="3.66015625" style="0" customWidth="1"/>
  </cols>
  <sheetData>
    <row r="1" spans="1:14" s="420" customFormat="1" ht="21.75" customHeight="1">
      <c r="A1" s="483" t="s">
        <v>409</v>
      </c>
      <c r="B1" s="483"/>
      <c r="C1" s="483"/>
      <c r="D1" s="483"/>
      <c r="E1" s="483"/>
      <c r="F1" s="483"/>
      <c r="G1" s="483"/>
      <c r="H1" s="483"/>
      <c r="I1" s="483"/>
      <c r="J1" s="483"/>
      <c r="K1" s="483"/>
      <c r="L1" s="483"/>
      <c r="M1" s="483"/>
      <c r="N1" s="483"/>
    </row>
    <row r="2" spans="1:16" ht="7.5" customHeight="1">
      <c r="A2" s="484"/>
      <c r="B2" s="484"/>
      <c r="C2" s="484"/>
      <c r="D2" s="485"/>
      <c r="E2" s="485"/>
      <c r="F2" s="485"/>
      <c r="G2" s="485"/>
      <c r="H2" s="485"/>
      <c r="I2" s="484"/>
      <c r="J2" s="484"/>
      <c r="K2" s="484"/>
      <c r="L2" s="484"/>
      <c r="M2" s="484"/>
      <c r="N2" s="484"/>
      <c r="O2" s="484"/>
      <c r="P2" s="417"/>
    </row>
    <row r="3" spans="1:16" ht="34.5" customHeight="1">
      <c r="A3" s="418" t="s">
        <v>0</v>
      </c>
      <c r="B3" s="418" t="s">
        <v>1</v>
      </c>
      <c r="C3" s="486" t="s">
        <v>370</v>
      </c>
      <c r="D3" s="486"/>
      <c r="E3" s="486" t="s">
        <v>2</v>
      </c>
      <c r="F3" s="486"/>
      <c r="G3" s="486"/>
      <c r="H3" s="486" t="s">
        <v>371</v>
      </c>
      <c r="I3" s="486"/>
      <c r="J3" s="418" t="s">
        <v>410</v>
      </c>
      <c r="K3" s="486" t="s">
        <v>411</v>
      </c>
      <c r="L3" s="486"/>
      <c r="M3" s="486"/>
      <c r="N3" s="486"/>
      <c r="O3" s="486"/>
      <c r="P3" s="417"/>
    </row>
    <row r="4" spans="1:16" ht="11.25" customHeight="1">
      <c r="A4" s="419" t="s">
        <v>372</v>
      </c>
      <c r="B4" s="419" t="s">
        <v>373</v>
      </c>
      <c r="C4" s="487" t="s">
        <v>374</v>
      </c>
      <c r="D4" s="487"/>
      <c r="E4" s="487" t="s">
        <v>375</v>
      </c>
      <c r="F4" s="487"/>
      <c r="G4" s="487"/>
      <c r="H4" s="487" t="s">
        <v>376</v>
      </c>
      <c r="I4" s="487"/>
      <c r="J4" s="423" t="s">
        <v>377</v>
      </c>
      <c r="K4" s="488" t="s">
        <v>378</v>
      </c>
      <c r="L4" s="487"/>
      <c r="M4" s="487"/>
      <c r="N4" s="487"/>
      <c r="O4" s="487"/>
      <c r="P4" s="417"/>
    </row>
    <row r="5" spans="1:16" s="425" customFormat="1" ht="13.5" customHeight="1">
      <c r="A5" s="489" t="s">
        <v>379</v>
      </c>
      <c r="B5" s="489"/>
      <c r="C5" s="489"/>
      <c r="D5" s="489"/>
      <c r="E5" s="489"/>
      <c r="F5" s="489"/>
      <c r="G5" s="489"/>
      <c r="H5" s="489"/>
      <c r="I5" s="489"/>
      <c r="J5" s="489"/>
      <c r="K5" s="489"/>
      <c r="L5" s="489"/>
      <c r="M5" s="489"/>
      <c r="N5" s="489"/>
      <c r="O5" s="489"/>
      <c r="P5" s="424"/>
    </row>
    <row r="6" spans="1:16" s="425" customFormat="1" ht="34.5" customHeight="1">
      <c r="A6" s="426" t="s">
        <v>380</v>
      </c>
      <c r="B6" s="426"/>
      <c r="C6" s="490"/>
      <c r="D6" s="490"/>
      <c r="E6" s="491" t="s">
        <v>381</v>
      </c>
      <c r="F6" s="491"/>
      <c r="G6" s="491"/>
      <c r="H6" s="492" t="s">
        <v>382</v>
      </c>
      <c r="I6" s="492"/>
      <c r="J6" s="427" t="s">
        <v>383</v>
      </c>
      <c r="K6" s="492" t="s">
        <v>385</v>
      </c>
      <c r="L6" s="492"/>
      <c r="M6" s="492"/>
      <c r="N6" s="492"/>
      <c r="O6" s="492"/>
      <c r="P6" s="424"/>
    </row>
    <row r="7" spans="1:16" s="430" customFormat="1" ht="28.5" customHeight="1">
      <c r="A7" s="423"/>
      <c r="B7" s="423"/>
      <c r="C7" s="488"/>
      <c r="D7" s="488"/>
      <c r="E7" s="493" t="s">
        <v>386</v>
      </c>
      <c r="F7" s="493"/>
      <c r="G7" s="493"/>
      <c r="H7" s="494" t="s">
        <v>384</v>
      </c>
      <c r="I7" s="494"/>
      <c r="J7" s="421" t="s">
        <v>384</v>
      </c>
      <c r="K7" s="494" t="s">
        <v>384</v>
      </c>
      <c r="L7" s="494"/>
      <c r="M7" s="494"/>
      <c r="N7" s="494"/>
      <c r="O7" s="494"/>
      <c r="P7" s="429"/>
    </row>
    <row r="8" spans="1:16" s="425" customFormat="1" ht="35.25" customHeight="1">
      <c r="A8" s="426"/>
      <c r="B8" s="426" t="s">
        <v>387</v>
      </c>
      <c r="C8" s="490"/>
      <c r="D8" s="490"/>
      <c r="E8" s="491" t="s">
        <v>388</v>
      </c>
      <c r="F8" s="491"/>
      <c r="G8" s="491"/>
      <c r="H8" s="492" t="s">
        <v>389</v>
      </c>
      <c r="I8" s="492"/>
      <c r="J8" s="427" t="s">
        <v>383</v>
      </c>
      <c r="K8" s="492" t="s">
        <v>390</v>
      </c>
      <c r="L8" s="492"/>
      <c r="M8" s="492"/>
      <c r="N8" s="492"/>
      <c r="O8" s="492"/>
      <c r="P8" s="424"/>
    </row>
    <row r="9" spans="1:16" s="430" customFormat="1" ht="28.5" customHeight="1">
      <c r="A9" s="423"/>
      <c r="B9" s="423"/>
      <c r="C9" s="488"/>
      <c r="D9" s="488"/>
      <c r="E9" s="493" t="s">
        <v>386</v>
      </c>
      <c r="F9" s="493"/>
      <c r="G9" s="493"/>
      <c r="H9" s="494" t="s">
        <v>384</v>
      </c>
      <c r="I9" s="494"/>
      <c r="J9" s="421" t="s">
        <v>384</v>
      </c>
      <c r="K9" s="494" t="s">
        <v>384</v>
      </c>
      <c r="L9" s="494"/>
      <c r="M9" s="494"/>
      <c r="N9" s="494"/>
      <c r="O9" s="494"/>
      <c r="P9" s="429"/>
    </row>
    <row r="10" spans="1:16" s="425" customFormat="1" ht="34.5" customHeight="1">
      <c r="A10" s="426"/>
      <c r="B10" s="426"/>
      <c r="C10" s="490" t="s">
        <v>391</v>
      </c>
      <c r="D10" s="490"/>
      <c r="E10" s="491" t="s">
        <v>392</v>
      </c>
      <c r="F10" s="491"/>
      <c r="G10" s="491"/>
      <c r="H10" s="492" t="s">
        <v>393</v>
      </c>
      <c r="I10" s="492"/>
      <c r="J10" s="427" t="s">
        <v>383</v>
      </c>
      <c r="K10" s="492" t="s">
        <v>394</v>
      </c>
      <c r="L10" s="492"/>
      <c r="M10" s="492"/>
      <c r="N10" s="492"/>
      <c r="O10" s="492"/>
      <c r="P10" s="424"/>
    </row>
    <row r="11" spans="1:16" s="425" customFormat="1" ht="18.75" customHeight="1">
      <c r="A11" s="426" t="s">
        <v>395</v>
      </c>
      <c r="B11" s="426"/>
      <c r="C11" s="490"/>
      <c r="D11" s="490"/>
      <c r="E11" s="491" t="s">
        <v>396</v>
      </c>
      <c r="F11" s="491"/>
      <c r="G11" s="491"/>
      <c r="H11" s="492" t="s">
        <v>397</v>
      </c>
      <c r="I11" s="492"/>
      <c r="J11" s="427" t="s">
        <v>398</v>
      </c>
      <c r="K11" s="492" t="s">
        <v>399</v>
      </c>
      <c r="L11" s="492"/>
      <c r="M11" s="492"/>
      <c r="N11" s="492"/>
      <c r="O11" s="492"/>
      <c r="P11" s="424"/>
    </row>
    <row r="12" spans="1:16" s="430" customFormat="1" ht="28.5" customHeight="1">
      <c r="A12" s="423"/>
      <c r="B12" s="423"/>
      <c r="C12" s="488"/>
      <c r="D12" s="488"/>
      <c r="E12" s="493" t="s">
        <v>386</v>
      </c>
      <c r="F12" s="493"/>
      <c r="G12" s="493"/>
      <c r="H12" s="494" t="s">
        <v>384</v>
      </c>
      <c r="I12" s="494"/>
      <c r="J12" s="421" t="s">
        <v>384</v>
      </c>
      <c r="K12" s="494" t="s">
        <v>384</v>
      </c>
      <c r="L12" s="494"/>
      <c r="M12" s="494"/>
      <c r="N12" s="494"/>
      <c r="O12" s="494"/>
      <c r="P12" s="429"/>
    </row>
    <row r="13" spans="1:16" s="425" customFormat="1" ht="23.25" customHeight="1">
      <c r="A13" s="426"/>
      <c r="B13" s="426" t="s">
        <v>412</v>
      </c>
      <c r="C13" s="490"/>
      <c r="D13" s="490"/>
      <c r="E13" s="491" t="s">
        <v>413</v>
      </c>
      <c r="F13" s="491"/>
      <c r="G13" s="491"/>
      <c r="H13" s="492" t="s">
        <v>384</v>
      </c>
      <c r="I13" s="492"/>
      <c r="J13" s="427" t="s">
        <v>398</v>
      </c>
      <c r="K13" s="492" t="s">
        <v>398</v>
      </c>
      <c r="L13" s="492"/>
      <c r="M13" s="492"/>
      <c r="N13" s="492"/>
      <c r="O13" s="492"/>
      <c r="P13" s="424"/>
    </row>
    <row r="14" spans="1:16" s="430" customFormat="1" ht="28.5" customHeight="1">
      <c r="A14" s="423"/>
      <c r="B14" s="423"/>
      <c r="C14" s="488"/>
      <c r="D14" s="488"/>
      <c r="E14" s="493" t="s">
        <v>386</v>
      </c>
      <c r="F14" s="493"/>
      <c r="G14" s="493"/>
      <c r="H14" s="494" t="s">
        <v>384</v>
      </c>
      <c r="I14" s="494"/>
      <c r="J14" s="421" t="s">
        <v>384</v>
      </c>
      <c r="K14" s="494" t="s">
        <v>384</v>
      </c>
      <c r="L14" s="494"/>
      <c r="M14" s="494"/>
      <c r="N14" s="494"/>
      <c r="O14" s="494"/>
      <c r="P14" s="429"/>
    </row>
    <row r="15" spans="1:16" s="425" customFormat="1" ht="18" customHeight="1">
      <c r="A15" s="426"/>
      <c r="B15" s="426"/>
      <c r="C15" s="490" t="s">
        <v>414</v>
      </c>
      <c r="D15" s="490"/>
      <c r="E15" s="491" t="s">
        <v>415</v>
      </c>
      <c r="F15" s="491"/>
      <c r="G15" s="491"/>
      <c r="H15" s="492" t="s">
        <v>384</v>
      </c>
      <c r="I15" s="492"/>
      <c r="J15" s="427" t="s">
        <v>398</v>
      </c>
      <c r="K15" s="492" t="s">
        <v>398</v>
      </c>
      <c r="L15" s="492"/>
      <c r="M15" s="492"/>
      <c r="N15" s="492"/>
      <c r="O15" s="492"/>
      <c r="P15" s="424"/>
    </row>
    <row r="16" spans="1:16" s="425" customFormat="1" ht="20.25" customHeight="1">
      <c r="A16" s="495" t="s">
        <v>379</v>
      </c>
      <c r="B16" s="495"/>
      <c r="C16" s="495"/>
      <c r="D16" s="495"/>
      <c r="E16" s="495"/>
      <c r="F16" s="495"/>
      <c r="G16" s="428" t="s">
        <v>400</v>
      </c>
      <c r="H16" s="496" t="s">
        <v>401</v>
      </c>
      <c r="I16" s="496"/>
      <c r="J16" s="422" t="s">
        <v>384</v>
      </c>
      <c r="K16" s="496" t="s">
        <v>401</v>
      </c>
      <c r="L16" s="496"/>
      <c r="M16" s="496"/>
      <c r="N16" s="496"/>
      <c r="O16" s="496"/>
      <c r="P16" s="424"/>
    </row>
    <row r="17" spans="1:16" s="430" customFormat="1" ht="28.5" customHeight="1">
      <c r="A17" s="497"/>
      <c r="B17" s="497"/>
      <c r="C17" s="497"/>
      <c r="D17" s="497"/>
      <c r="E17" s="498" t="s">
        <v>386</v>
      </c>
      <c r="F17" s="498"/>
      <c r="G17" s="498"/>
      <c r="H17" s="499" t="s">
        <v>402</v>
      </c>
      <c r="I17" s="499"/>
      <c r="J17" s="431" t="s">
        <v>384</v>
      </c>
      <c r="K17" s="499" t="s">
        <v>402</v>
      </c>
      <c r="L17" s="499"/>
      <c r="M17" s="499"/>
      <c r="N17" s="499"/>
      <c r="O17" s="499"/>
      <c r="P17" s="429"/>
    </row>
    <row r="18" spans="1:16" s="425" customFormat="1" ht="11.25" customHeight="1">
      <c r="A18" s="500"/>
      <c r="B18" s="500"/>
      <c r="C18" s="500"/>
      <c r="D18" s="500"/>
      <c r="E18" s="500"/>
      <c r="F18" s="500"/>
      <c r="G18" s="500"/>
      <c r="H18" s="500"/>
      <c r="I18" s="500"/>
      <c r="J18" s="500"/>
      <c r="K18" s="500"/>
      <c r="L18" s="500"/>
      <c r="M18" s="500"/>
      <c r="N18" s="500"/>
      <c r="O18" s="500"/>
      <c r="P18" s="424"/>
    </row>
    <row r="19" spans="1:16" s="425" customFormat="1" ht="16.5" customHeight="1">
      <c r="A19" s="489" t="s">
        <v>403</v>
      </c>
      <c r="B19" s="489"/>
      <c r="C19" s="489"/>
      <c r="D19" s="489"/>
      <c r="E19" s="489"/>
      <c r="F19" s="489"/>
      <c r="G19" s="489"/>
      <c r="H19" s="489"/>
      <c r="I19" s="489"/>
      <c r="J19" s="489"/>
      <c r="K19" s="489"/>
      <c r="L19" s="489"/>
      <c r="M19" s="489"/>
      <c r="N19" s="489"/>
      <c r="O19" s="489"/>
      <c r="P19" s="424"/>
    </row>
    <row r="20" spans="1:16" s="425" customFormat="1" ht="16.5" customHeight="1">
      <c r="A20" s="495" t="s">
        <v>403</v>
      </c>
      <c r="B20" s="495"/>
      <c r="C20" s="495"/>
      <c r="D20" s="495"/>
      <c r="E20" s="495"/>
      <c r="F20" s="495"/>
      <c r="G20" s="428" t="s">
        <v>400</v>
      </c>
      <c r="H20" s="496" t="s">
        <v>404</v>
      </c>
      <c r="I20" s="496"/>
      <c r="J20" s="422" t="s">
        <v>384</v>
      </c>
      <c r="K20" s="496" t="s">
        <v>404</v>
      </c>
      <c r="L20" s="496"/>
      <c r="M20" s="496"/>
      <c r="N20" s="496"/>
      <c r="O20" s="496"/>
      <c r="P20" s="424"/>
    </row>
    <row r="21" spans="1:16" s="435" customFormat="1" ht="30" customHeight="1">
      <c r="A21" s="501"/>
      <c r="B21" s="501"/>
      <c r="C21" s="501"/>
      <c r="D21" s="501"/>
      <c r="E21" s="502" t="s">
        <v>386</v>
      </c>
      <c r="F21" s="502"/>
      <c r="G21" s="502"/>
      <c r="H21" s="478" t="s">
        <v>405</v>
      </c>
      <c r="I21" s="478"/>
      <c r="J21" s="433" t="s">
        <v>384</v>
      </c>
      <c r="K21" s="478" t="s">
        <v>405</v>
      </c>
      <c r="L21" s="478"/>
      <c r="M21" s="478"/>
      <c r="N21" s="478"/>
      <c r="O21" s="478"/>
      <c r="P21" s="434"/>
    </row>
    <row r="22" spans="1:16" s="425" customFormat="1" ht="16.5" customHeight="1">
      <c r="A22" s="489" t="s">
        <v>406</v>
      </c>
      <c r="B22" s="489"/>
      <c r="C22" s="489"/>
      <c r="D22" s="489"/>
      <c r="E22" s="489"/>
      <c r="F22" s="489"/>
      <c r="G22" s="489"/>
      <c r="H22" s="496" t="s">
        <v>407</v>
      </c>
      <c r="I22" s="496"/>
      <c r="J22" s="422" t="s">
        <v>384</v>
      </c>
      <c r="K22" s="496" t="s">
        <v>407</v>
      </c>
      <c r="L22" s="496"/>
      <c r="M22" s="496"/>
      <c r="N22" s="496"/>
      <c r="O22" s="496"/>
      <c r="P22" s="424"/>
    </row>
    <row r="23" spans="1:16" s="435" customFormat="1" ht="45.75" customHeight="1">
      <c r="A23" s="470"/>
      <c r="B23" s="470"/>
      <c r="C23" s="470"/>
      <c r="D23" s="470"/>
      <c r="E23" s="471" t="s">
        <v>386</v>
      </c>
      <c r="F23" s="472"/>
      <c r="G23" s="473"/>
      <c r="H23" s="474" t="s">
        <v>408</v>
      </c>
      <c r="I23" s="474"/>
      <c r="J23" s="432" t="s">
        <v>384</v>
      </c>
      <c r="K23" s="474" t="s">
        <v>408</v>
      </c>
      <c r="L23" s="474"/>
      <c r="M23" s="474"/>
      <c r="N23" s="474"/>
      <c r="O23" s="474"/>
      <c r="P23" s="434"/>
    </row>
  </sheetData>
  <mergeCells count="76">
    <mergeCell ref="A22:G22"/>
    <mergeCell ref="H22:I22"/>
    <mergeCell ref="K22:O22"/>
    <mergeCell ref="A23:D23"/>
    <mergeCell ref="E23:G23"/>
    <mergeCell ref="H23:I23"/>
    <mergeCell ref="K23:O23"/>
    <mergeCell ref="A21:D21"/>
    <mergeCell ref="E21:G21"/>
    <mergeCell ref="H21:I21"/>
    <mergeCell ref="K21:O21"/>
    <mergeCell ref="A18:O18"/>
    <mergeCell ref="A19:O19"/>
    <mergeCell ref="A20:F20"/>
    <mergeCell ref="H20:I20"/>
    <mergeCell ref="K20:O20"/>
    <mergeCell ref="A16:F16"/>
    <mergeCell ref="H16:I16"/>
    <mergeCell ref="K16:O16"/>
    <mergeCell ref="A17:D17"/>
    <mergeCell ref="E17:G17"/>
    <mergeCell ref="H17:I17"/>
    <mergeCell ref="K17:O17"/>
    <mergeCell ref="C15:D15"/>
    <mergeCell ref="E15:G15"/>
    <mergeCell ref="H15:I15"/>
    <mergeCell ref="K15:O15"/>
    <mergeCell ref="C14:D14"/>
    <mergeCell ref="E14:G14"/>
    <mergeCell ref="H14:I14"/>
    <mergeCell ref="K14:O14"/>
    <mergeCell ref="C13:D13"/>
    <mergeCell ref="E13:G13"/>
    <mergeCell ref="H13:I13"/>
    <mergeCell ref="K13:O13"/>
    <mergeCell ref="C12:D12"/>
    <mergeCell ref="E12:G12"/>
    <mergeCell ref="H12:I12"/>
    <mergeCell ref="K12:O12"/>
    <mergeCell ref="C11:D11"/>
    <mergeCell ref="E11:G11"/>
    <mergeCell ref="H11:I11"/>
    <mergeCell ref="K11:O11"/>
    <mergeCell ref="C10:D10"/>
    <mergeCell ref="E10:G10"/>
    <mergeCell ref="H10:I10"/>
    <mergeCell ref="K10:O10"/>
    <mergeCell ref="C9:D9"/>
    <mergeCell ref="E9:G9"/>
    <mergeCell ref="H9:I9"/>
    <mergeCell ref="K9:O9"/>
    <mergeCell ref="C8:D8"/>
    <mergeCell ref="E8:G8"/>
    <mergeCell ref="H8:I8"/>
    <mergeCell ref="K8:O8"/>
    <mergeCell ref="C7:D7"/>
    <mergeCell ref="E7:G7"/>
    <mergeCell ref="H7:I7"/>
    <mergeCell ref="K7:O7"/>
    <mergeCell ref="A5:O5"/>
    <mergeCell ref="C6:D6"/>
    <mergeCell ref="E6:G6"/>
    <mergeCell ref="H6:I6"/>
    <mergeCell ref="K6:O6"/>
    <mergeCell ref="C4:D4"/>
    <mergeCell ref="E4:G4"/>
    <mergeCell ref="H4:I4"/>
    <mergeCell ref="K4:O4"/>
    <mergeCell ref="C3:D3"/>
    <mergeCell ref="E3:G3"/>
    <mergeCell ref="H3:I3"/>
    <mergeCell ref="K3:O3"/>
    <mergeCell ref="A1:N1"/>
    <mergeCell ref="A2:C2"/>
    <mergeCell ref="D2:H2"/>
    <mergeCell ref="I2:O2"/>
  </mergeCells>
  <printOptions horizontalCentered="1"/>
  <pageMargins left="0.7874015748031497" right="0.7874015748031497" top="1.1811023622047245" bottom="0.984251968503937" header="0.4330708661417323" footer="0.5118110236220472"/>
  <pageSetup horizontalDpi="600" verticalDpi="600" orientation="portrait" paperSize="9" r:id="rId1"/>
  <headerFooter alignWithMargins="0">
    <oddHeader>&amp;R&amp;"Arial,Pogrubiony"Załącznik Nr 1&amp;"Arial,Normalny"
do Uchwały Nr XXVIII/177/2012
Rady Gminy Miłkowice
z dnia 28 grudnia 2012r.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77"/>
  <sheetViews>
    <sheetView showGridLines="0" zoomScale="150" zoomScaleNormal="150" workbookViewId="0" topLeftCell="A61">
      <selection activeCell="A74" sqref="A1:W77"/>
    </sheetView>
  </sheetViews>
  <sheetFormatPr defaultColWidth="9.33203125" defaultRowHeight="12.75"/>
  <cols>
    <col min="1" max="1" width="3" style="0" customWidth="1"/>
    <col min="2" max="2" width="1.171875" style="0" customWidth="1"/>
    <col min="3" max="3" width="5.83203125" style="0" customWidth="1"/>
    <col min="4" max="4" width="12.16015625" style="0" customWidth="1"/>
    <col min="5" max="5" width="14.16015625" style="0" customWidth="1"/>
    <col min="6" max="6" width="8.5" style="0" customWidth="1"/>
    <col min="7" max="7" width="7" style="0" customWidth="1"/>
    <col min="8" max="8" width="4.5" style="0" customWidth="1"/>
    <col min="9" max="9" width="11" style="0" customWidth="1"/>
    <col min="10" max="10" width="10.16015625" style="0" customWidth="1"/>
    <col min="11" max="12" width="9.5" style="0" customWidth="1"/>
    <col min="13" max="17" width="8.83203125" style="0" customWidth="1"/>
    <col min="18" max="18" width="11" style="0" customWidth="1"/>
    <col min="19" max="19" width="9.5" style="0" customWidth="1"/>
    <col min="20" max="20" width="1.83203125" style="0" customWidth="1"/>
    <col min="21" max="21" width="7.66015625" style="0" customWidth="1"/>
    <col min="22" max="22" width="8.33203125" style="0" customWidth="1"/>
    <col min="23" max="23" width="0.4921875" style="0" customWidth="1"/>
  </cols>
  <sheetData>
    <row r="1" spans="1:23" s="7" customFormat="1" ht="17.25" customHeight="1">
      <c r="A1" s="455" t="s">
        <v>39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  <c r="O1" s="455"/>
      <c r="P1" s="455"/>
      <c r="Q1" s="455"/>
      <c r="R1" s="455"/>
      <c r="S1" s="455"/>
      <c r="T1" s="455"/>
      <c r="U1" s="455"/>
      <c r="V1" s="455"/>
      <c r="W1" s="455"/>
    </row>
    <row r="2" spans="2:24" ht="8.25" customHeight="1">
      <c r="B2" s="476"/>
      <c r="C2" s="476"/>
      <c r="D2" s="476"/>
      <c r="E2" s="477"/>
      <c r="F2" s="477"/>
      <c r="G2" s="477"/>
      <c r="H2" s="484"/>
      <c r="I2" s="484"/>
      <c r="J2" s="484"/>
      <c r="K2" s="484"/>
      <c r="L2" s="484"/>
      <c r="M2" s="484"/>
      <c r="N2" s="484"/>
      <c r="O2" s="484"/>
      <c r="P2" s="484"/>
      <c r="Q2" s="484"/>
      <c r="R2" s="484"/>
      <c r="S2" s="484"/>
      <c r="T2" s="484"/>
      <c r="U2" s="484"/>
      <c r="V2" s="484"/>
      <c r="W2" s="484"/>
      <c r="X2" s="1"/>
    </row>
    <row r="3" spans="1:24" ht="9" customHeight="1">
      <c r="A3" s="475" t="s">
        <v>0</v>
      </c>
      <c r="B3" s="475"/>
      <c r="C3" s="475" t="s">
        <v>1</v>
      </c>
      <c r="D3" s="475" t="s">
        <v>2</v>
      </c>
      <c r="E3" s="475"/>
      <c r="F3" s="475"/>
      <c r="G3" s="475" t="s">
        <v>3</v>
      </c>
      <c r="H3" s="475"/>
      <c r="I3" s="475" t="s">
        <v>4</v>
      </c>
      <c r="J3" s="475"/>
      <c r="K3" s="475"/>
      <c r="L3" s="475"/>
      <c r="M3" s="475"/>
      <c r="N3" s="475"/>
      <c r="O3" s="475"/>
      <c r="P3" s="475"/>
      <c r="Q3" s="475"/>
      <c r="R3" s="475"/>
      <c r="S3" s="475"/>
      <c r="T3" s="475"/>
      <c r="U3" s="475"/>
      <c r="V3" s="475"/>
      <c r="W3" s="475"/>
      <c r="X3" s="1"/>
    </row>
    <row r="4" spans="1:24" ht="12.75" customHeight="1">
      <c r="A4" s="475"/>
      <c r="B4" s="475"/>
      <c r="C4" s="475"/>
      <c r="D4" s="475"/>
      <c r="E4" s="475"/>
      <c r="F4" s="475"/>
      <c r="G4" s="475"/>
      <c r="H4" s="475"/>
      <c r="I4" s="475" t="s">
        <v>5</v>
      </c>
      <c r="J4" s="475" t="s">
        <v>6</v>
      </c>
      <c r="K4" s="475"/>
      <c r="L4" s="475"/>
      <c r="M4" s="475"/>
      <c r="N4" s="475"/>
      <c r="O4" s="475"/>
      <c r="P4" s="475"/>
      <c r="Q4" s="475"/>
      <c r="R4" s="475" t="s">
        <v>7</v>
      </c>
      <c r="S4" s="475" t="s">
        <v>6</v>
      </c>
      <c r="T4" s="475"/>
      <c r="U4" s="475"/>
      <c r="V4" s="475"/>
      <c r="W4" s="475"/>
      <c r="X4" s="1"/>
    </row>
    <row r="5" spans="1:24" ht="2.25" customHeight="1">
      <c r="A5" s="475"/>
      <c r="B5" s="475"/>
      <c r="C5" s="475"/>
      <c r="D5" s="475"/>
      <c r="E5" s="475"/>
      <c r="F5" s="475"/>
      <c r="G5" s="475"/>
      <c r="H5" s="475"/>
      <c r="I5" s="475"/>
      <c r="J5" s="475"/>
      <c r="K5" s="475"/>
      <c r="L5" s="475"/>
      <c r="M5" s="475"/>
      <c r="N5" s="475"/>
      <c r="O5" s="475"/>
      <c r="P5" s="475"/>
      <c r="Q5" s="475"/>
      <c r="R5" s="475"/>
      <c r="S5" s="475" t="s">
        <v>8</v>
      </c>
      <c r="T5" s="475" t="s">
        <v>9</v>
      </c>
      <c r="U5" s="475"/>
      <c r="V5" s="475" t="s">
        <v>10</v>
      </c>
      <c r="W5" s="475"/>
      <c r="X5" s="1"/>
    </row>
    <row r="6" spans="1:24" ht="6" customHeight="1">
      <c r="A6" s="475"/>
      <c r="B6" s="475"/>
      <c r="C6" s="475"/>
      <c r="D6" s="475"/>
      <c r="E6" s="475"/>
      <c r="F6" s="475"/>
      <c r="G6" s="475"/>
      <c r="H6" s="475"/>
      <c r="I6" s="475"/>
      <c r="J6" s="475" t="s">
        <v>11</v>
      </c>
      <c r="K6" s="475" t="s">
        <v>6</v>
      </c>
      <c r="L6" s="475"/>
      <c r="M6" s="475" t="s">
        <v>12</v>
      </c>
      <c r="N6" s="475" t="s">
        <v>13</v>
      </c>
      <c r="O6" s="475" t="s">
        <v>14</v>
      </c>
      <c r="P6" s="475" t="s">
        <v>15</v>
      </c>
      <c r="Q6" s="475" t="s">
        <v>16</v>
      </c>
      <c r="R6" s="475"/>
      <c r="S6" s="475"/>
      <c r="T6" s="475"/>
      <c r="U6" s="475"/>
      <c r="V6" s="475"/>
      <c r="W6" s="475"/>
      <c r="X6" s="1"/>
    </row>
    <row r="7" spans="1:24" ht="2.25" customHeight="1">
      <c r="A7" s="475"/>
      <c r="B7" s="475"/>
      <c r="C7" s="475"/>
      <c r="D7" s="475"/>
      <c r="E7" s="475"/>
      <c r="F7" s="475"/>
      <c r="G7" s="475"/>
      <c r="H7" s="475"/>
      <c r="I7" s="475"/>
      <c r="J7" s="475"/>
      <c r="K7" s="475"/>
      <c r="L7" s="475"/>
      <c r="M7" s="475"/>
      <c r="N7" s="475"/>
      <c r="O7" s="475"/>
      <c r="P7" s="475"/>
      <c r="Q7" s="475"/>
      <c r="R7" s="475"/>
      <c r="S7" s="475"/>
      <c r="T7" s="475" t="s">
        <v>17</v>
      </c>
      <c r="U7" s="475"/>
      <c r="V7" s="475"/>
      <c r="W7" s="475"/>
      <c r="X7" s="1"/>
    </row>
    <row r="8" spans="1:24" ht="44.25" customHeight="1">
      <c r="A8" s="475"/>
      <c r="B8" s="475"/>
      <c r="C8" s="475"/>
      <c r="D8" s="475"/>
      <c r="E8" s="475"/>
      <c r="F8" s="475"/>
      <c r="G8" s="475"/>
      <c r="H8" s="475"/>
      <c r="I8" s="475"/>
      <c r="J8" s="475"/>
      <c r="K8" s="4" t="s">
        <v>18</v>
      </c>
      <c r="L8" s="4" t="s">
        <v>19</v>
      </c>
      <c r="M8" s="475"/>
      <c r="N8" s="475"/>
      <c r="O8" s="475"/>
      <c r="P8" s="475"/>
      <c r="Q8" s="475"/>
      <c r="R8" s="475"/>
      <c r="S8" s="475"/>
      <c r="T8" s="475"/>
      <c r="U8" s="475"/>
      <c r="V8" s="475"/>
      <c r="W8" s="475"/>
      <c r="X8" s="1"/>
    </row>
    <row r="9" spans="1:24" s="12" customFormat="1" ht="9" customHeight="1">
      <c r="A9" s="464">
        <v>1</v>
      </c>
      <c r="B9" s="464"/>
      <c r="C9" s="10">
        <v>2</v>
      </c>
      <c r="D9" s="464">
        <v>3</v>
      </c>
      <c r="E9" s="464"/>
      <c r="F9" s="464"/>
      <c r="G9" s="464">
        <v>4</v>
      </c>
      <c r="H9" s="464"/>
      <c r="I9" s="10">
        <v>5</v>
      </c>
      <c r="J9" s="10">
        <v>6</v>
      </c>
      <c r="K9" s="10">
        <v>7</v>
      </c>
      <c r="L9" s="10">
        <v>8</v>
      </c>
      <c r="M9" s="10">
        <v>9</v>
      </c>
      <c r="N9" s="10">
        <v>10</v>
      </c>
      <c r="O9" s="10">
        <v>11</v>
      </c>
      <c r="P9" s="10">
        <v>12</v>
      </c>
      <c r="Q9" s="10">
        <v>13</v>
      </c>
      <c r="R9" s="10">
        <v>14</v>
      </c>
      <c r="S9" s="10">
        <v>15</v>
      </c>
      <c r="T9" s="464">
        <v>16</v>
      </c>
      <c r="U9" s="464"/>
      <c r="V9" s="464">
        <v>17</v>
      </c>
      <c r="W9" s="464"/>
      <c r="X9" s="11"/>
    </row>
    <row r="10" spans="1:24" ht="9" customHeight="1">
      <c r="A10" s="475">
        <v>600</v>
      </c>
      <c r="B10" s="475"/>
      <c r="C10" s="475"/>
      <c r="D10" s="465" t="s">
        <v>20</v>
      </c>
      <c r="E10" s="465"/>
      <c r="F10" s="5" t="s">
        <v>21</v>
      </c>
      <c r="G10" s="466">
        <v>497372.41</v>
      </c>
      <c r="H10" s="466"/>
      <c r="I10" s="13">
        <v>261691.41</v>
      </c>
      <c r="J10" s="13">
        <v>123691.41</v>
      </c>
      <c r="K10" s="13">
        <v>2015</v>
      </c>
      <c r="L10" s="13">
        <v>121676.41</v>
      </c>
      <c r="M10" s="13">
        <v>138000</v>
      </c>
      <c r="N10" s="13"/>
      <c r="O10" s="13"/>
      <c r="P10" s="13"/>
      <c r="Q10" s="13"/>
      <c r="R10" s="13">
        <v>235681</v>
      </c>
      <c r="S10" s="13">
        <v>235681</v>
      </c>
      <c r="T10" s="466"/>
      <c r="U10" s="466"/>
      <c r="V10" s="466">
        <v>0</v>
      </c>
      <c r="W10" s="466"/>
      <c r="X10" s="1"/>
    </row>
    <row r="11" spans="1:24" ht="9" customHeight="1">
      <c r="A11" s="475"/>
      <c r="B11" s="475"/>
      <c r="C11" s="475"/>
      <c r="D11" s="465"/>
      <c r="E11" s="465"/>
      <c r="F11" s="5" t="s">
        <v>22</v>
      </c>
      <c r="G11" s="466"/>
      <c r="H11" s="466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466"/>
      <c r="U11" s="466"/>
      <c r="V11" s="466">
        <v>0</v>
      </c>
      <c r="W11" s="466"/>
      <c r="X11" s="1"/>
    </row>
    <row r="12" spans="1:24" ht="9" customHeight="1">
      <c r="A12" s="475"/>
      <c r="B12" s="475"/>
      <c r="C12" s="475"/>
      <c r="D12" s="465"/>
      <c r="E12" s="465"/>
      <c r="F12" s="5" t="s">
        <v>23</v>
      </c>
      <c r="G12" s="466">
        <v>700</v>
      </c>
      <c r="H12" s="466"/>
      <c r="I12" s="13">
        <v>700</v>
      </c>
      <c r="J12" s="13">
        <v>700</v>
      </c>
      <c r="K12" s="13"/>
      <c r="L12" s="13">
        <v>700</v>
      </c>
      <c r="M12" s="13"/>
      <c r="N12" s="13"/>
      <c r="O12" s="13"/>
      <c r="P12" s="13"/>
      <c r="Q12" s="13"/>
      <c r="R12" s="13"/>
      <c r="S12" s="13"/>
      <c r="T12" s="466"/>
      <c r="U12" s="466"/>
      <c r="V12" s="466">
        <v>0</v>
      </c>
      <c r="W12" s="466"/>
      <c r="X12" s="1"/>
    </row>
    <row r="13" spans="1:24" ht="9" customHeight="1">
      <c r="A13" s="475"/>
      <c r="B13" s="475"/>
      <c r="C13" s="475"/>
      <c r="D13" s="465"/>
      <c r="E13" s="465"/>
      <c r="F13" s="5" t="s">
        <v>24</v>
      </c>
      <c r="G13" s="466">
        <v>498072.41</v>
      </c>
      <c r="H13" s="466"/>
      <c r="I13" s="13">
        <v>262391.41</v>
      </c>
      <c r="J13" s="13">
        <v>124391.41</v>
      </c>
      <c r="K13" s="13">
        <v>2015</v>
      </c>
      <c r="L13" s="13">
        <v>122376.41</v>
      </c>
      <c r="M13" s="13">
        <v>138000</v>
      </c>
      <c r="N13" s="13"/>
      <c r="O13" s="13"/>
      <c r="P13" s="13"/>
      <c r="Q13" s="13"/>
      <c r="R13" s="13">
        <v>235681</v>
      </c>
      <c r="S13" s="13">
        <v>235681</v>
      </c>
      <c r="T13" s="466"/>
      <c r="U13" s="466"/>
      <c r="V13" s="466">
        <v>0</v>
      </c>
      <c r="W13" s="466"/>
      <c r="X13" s="1"/>
    </row>
    <row r="14" spans="1:24" ht="9" customHeight="1">
      <c r="A14" s="467"/>
      <c r="B14" s="467"/>
      <c r="C14" s="467">
        <v>60014</v>
      </c>
      <c r="D14" s="468" t="s">
        <v>25</v>
      </c>
      <c r="E14" s="468"/>
      <c r="F14" s="6" t="s">
        <v>21</v>
      </c>
      <c r="G14" s="469">
        <v>251758.41</v>
      </c>
      <c r="H14" s="469"/>
      <c r="I14" s="14">
        <v>46758.41</v>
      </c>
      <c r="J14" s="14">
        <v>46758.41</v>
      </c>
      <c r="K14" s="14">
        <v>2015</v>
      </c>
      <c r="L14" s="14">
        <v>44743.41</v>
      </c>
      <c r="M14" s="14"/>
      <c r="N14" s="14"/>
      <c r="O14" s="14"/>
      <c r="P14" s="14"/>
      <c r="Q14" s="14"/>
      <c r="R14" s="14">
        <v>205000</v>
      </c>
      <c r="S14" s="14">
        <v>205000</v>
      </c>
      <c r="T14" s="469"/>
      <c r="U14" s="469"/>
      <c r="V14" s="469">
        <v>0</v>
      </c>
      <c r="W14" s="469"/>
      <c r="X14" s="1"/>
    </row>
    <row r="15" spans="1:24" ht="9" customHeight="1">
      <c r="A15" s="467"/>
      <c r="B15" s="467"/>
      <c r="C15" s="467"/>
      <c r="D15" s="468"/>
      <c r="E15" s="468"/>
      <c r="F15" s="5" t="s">
        <v>22</v>
      </c>
      <c r="G15" s="466"/>
      <c r="H15" s="466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466"/>
      <c r="U15" s="466"/>
      <c r="V15" s="466">
        <v>0</v>
      </c>
      <c r="W15" s="466"/>
      <c r="X15" s="1"/>
    </row>
    <row r="16" spans="1:24" ht="9" customHeight="1">
      <c r="A16" s="467"/>
      <c r="B16" s="467"/>
      <c r="C16" s="467"/>
      <c r="D16" s="468"/>
      <c r="E16" s="468"/>
      <c r="F16" s="5" t="s">
        <v>23</v>
      </c>
      <c r="G16" s="466">
        <v>400</v>
      </c>
      <c r="H16" s="466"/>
      <c r="I16" s="13">
        <v>400</v>
      </c>
      <c r="J16" s="13">
        <v>400</v>
      </c>
      <c r="K16" s="13"/>
      <c r="L16" s="13">
        <v>400</v>
      </c>
      <c r="M16" s="13"/>
      <c r="N16" s="13"/>
      <c r="O16" s="13"/>
      <c r="P16" s="13"/>
      <c r="Q16" s="13"/>
      <c r="R16" s="13"/>
      <c r="S16" s="13"/>
      <c r="T16" s="466"/>
      <c r="U16" s="466"/>
      <c r="V16" s="466">
        <v>0</v>
      </c>
      <c r="W16" s="466"/>
      <c r="X16" s="1"/>
    </row>
    <row r="17" spans="1:24" ht="9" customHeight="1">
      <c r="A17" s="467"/>
      <c r="B17" s="467"/>
      <c r="C17" s="467"/>
      <c r="D17" s="468"/>
      <c r="E17" s="468"/>
      <c r="F17" s="5" t="s">
        <v>24</v>
      </c>
      <c r="G17" s="466">
        <v>252158.41</v>
      </c>
      <c r="H17" s="466"/>
      <c r="I17" s="13">
        <v>47158.41</v>
      </c>
      <c r="J17" s="13">
        <v>47158.41</v>
      </c>
      <c r="K17" s="13">
        <v>2015</v>
      </c>
      <c r="L17" s="13">
        <v>45143.41</v>
      </c>
      <c r="M17" s="13"/>
      <c r="N17" s="13"/>
      <c r="O17" s="13"/>
      <c r="P17" s="13"/>
      <c r="Q17" s="13"/>
      <c r="R17" s="13">
        <v>205000</v>
      </c>
      <c r="S17" s="13">
        <v>205000</v>
      </c>
      <c r="T17" s="466"/>
      <c r="U17" s="466"/>
      <c r="V17" s="466">
        <v>0</v>
      </c>
      <c r="W17" s="466"/>
      <c r="X17" s="1"/>
    </row>
    <row r="18" spans="1:24" ht="9" customHeight="1">
      <c r="A18" s="467"/>
      <c r="B18" s="467"/>
      <c r="C18" s="467">
        <v>60016</v>
      </c>
      <c r="D18" s="468" t="s">
        <v>26</v>
      </c>
      <c r="E18" s="468"/>
      <c r="F18" s="6" t="s">
        <v>21</v>
      </c>
      <c r="G18" s="469">
        <v>195614</v>
      </c>
      <c r="H18" s="469"/>
      <c r="I18" s="14">
        <v>164933</v>
      </c>
      <c r="J18" s="14">
        <v>76933</v>
      </c>
      <c r="K18" s="14"/>
      <c r="L18" s="14">
        <v>76933</v>
      </c>
      <c r="M18" s="14">
        <v>88000</v>
      </c>
      <c r="N18" s="14"/>
      <c r="O18" s="14"/>
      <c r="P18" s="14"/>
      <c r="Q18" s="14"/>
      <c r="R18" s="14">
        <v>30681</v>
      </c>
      <c r="S18" s="14">
        <v>30681</v>
      </c>
      <c r="T18" s="469"/>
      <c r="U18" s="469"/>
      <c r="V18" s="469">
        <v>0</v>
      </c>
      <c r="W18" s="469"/>
      <c r="X18" s="1"/>
    </row>
    <row r="19" spans="1:24" ht="9" customHeight="1">
      <c r="A19" s="467"/>
      <c r="B19" s="467"/>
      <c r="C19" s="467"/>
      <c r="D19" s="468"/>
      <c r="E19" s="468"/>
      <c r="F19" s="5" t="s">
        <v>22</v>
      </c>
      <c r="G19" s="466"/>
      <c r="H19" s="466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466"/>
      <c r="U19" s="466"/>
      <c r="V19" s="466">
        <v>0</v>
      </c>
      <c r="W19" s="466"/>
      <c r="X19" s="1"/>
    </row>
    <row r="20" spans="1:24" ht="9" customHeight="1">
      <c r="A20" s="467"/>
      <c r="B20" s="467"/>
      <c r="C20" s="467"/>
      <c r="D20" s="468"/>
      <c r="E20" s="468"/>
      <c r="F20" s="5" t="s">
        <v>23</v>
      </c>
      <c r="G20" s="466">
        <v>300</v>
      </c>
      <c r="H20" s="466"/>
      <c r="I20" s="13">
        <v>300</v>
      </c>
      <c r="J20" s="13">
        <v>300</v>
      </c>
      <c r="K20" s="13"/>
      <c r="L20" s="13">
        <v>300</v>
      </c>
      <c r="M20" s="13"/>
      <c r="N20" s="13"/>
      <c r="O20" s="13"/>
      <c r="P20" s="13"/>
      <c r="Q20" s="13"/>
      <c r="R20" s="13"/>
      <c r="S20" s="13"/>
      <c r="T20" s="466"/>
      <c r="U20" s="466"/>
      <c r="V20" s="466">
        <v>0</v>
      </c>
      <c r="W20" s="466"/>
      <c r="X20" s="1"/>
    </row>
    <row r="21" spans="1:24" ht="9" customHeight="1">
      <c r="A21" s="467"/>
      <c r="B21" s="467"/>
      <c r="C21" s="467"/>
      <c r="D21" s="468"/>
      <c r="E21" s="468"/>
      <c r="F21" s="5" t="s">
        <v>24</v>
      </c>
      <c r="G21" s="466">
        <v>195914</v>
      </c>
      <c r="H21" s="466"/>
      <c r="I21" s="13">
        <v>165233</v>
      </c>
      <c r="J21" s="13">
        <v>77233</v>
      </c>
      <c r="K21" s="13"/>
      <c r="L21" s="13">
        <v>77233</v>
      </c>
      <c r="M21" s="13">
        <v>88000</v>
      </c>
      <c r="N21" s="13"/>
      <c r="O21" s="13"/>
      <c r="P21" s="13"/>
      <c r="Q21" s="13"/>
      <c r="R21" s="13">
        <v>30681</v>
      </c>
      <c r="S21" s="13">
        <v>30681</v>
      </c>
      <c r="T21" s="466"/>
      <c r="U21" s="466"/>
      <c r="V21" s="466">
        <v>0</v>
      </c>
      <c r="W21" s="466"/>
      <c r="X21" s="1"/>
    </row>
    <row r="22" spans="1:24" ht="9" customHeight="1">
      <c r="A22" s="475">
        <v>750</v>
      </c>
      <c r="B22" s="475"/>
      <c r="C22" s="475"/>
      <c r="D22" s="465" t="s">
        <v>27</v>
      </c>
      <c r="E22" s="465"/>
      <c r="F22" s="5" t="s">
        <v>21</v>
      </c>
      <c r="G22" s="466">
        <v>2080638.41</v>
      </c>
      <c r="H22" s="466"/>
      <c r="I22" s="13">
        <v>2060638.41</v>
      </c>
      <c r="J22" s="13">
        <v>1982933.41</v>
      </c>
      <c r="K22" s="13">
        <v>1516752</v>
      </c>
      <c r="L22" s="13">
        <v>466181.41</v>
      </c>
      <c r="M22" s="13"/>
      <c r="N22" s="13">
        <v>77705</v>
      </c>
      <c r="O22" s="13"/>
      <c r="P22" s="13"/>
      <c r="Q22" s="13"/>
      <c r="R22" s="13">
        <v>20000</v>
      </c>
      <c r="S22" s="13">
        <v>20000</v>
      </c>
      <c r="T22" s="466"/>
      <c r="U22" s="466"/>
      <c r="V22" s="466">
        <v>0</v>
      </c>
      <c r="W22" s="466"/>
      <c r="X22" s="1"/>
    </row>
    <row r="23" spans="1:24" ht="9" customHeight="1">
      <c r="A23" s="475"/>
      <c r="B23" s="475"/>
      <c r="C23" s="475"/>
      <c r="D23" s="465"/>
      <c r="E23" s="465"/>
      <c r="F23" s="5" t="s">
        <v>22</v>
      </c>
      <c r="G23" s="466">
        <v>-48.8</v>
      </c>
      <c r="H23" s="466"/>
      <c r="I23" s="13">
        <v>-48.8</v>
      </c>
      <c r="J23" s="13">
        <v>-48.8</v>
      </c>
      <c r="K23" s="13"/>
      <c r="L23" s="13">
        <v>-48.8</v>
      </c>
      <c r="M23" s="13"/>
      <c r="N23" s="13"/>
      <c r="O23" s="13"/>
      <c r="P23" s="13"/>
      <c r="Q23" s="13"/>
      <c r="R23" s="13"/>
      <c r="S23" s="13"/>
      <c r="T23" s="466"/>
      <c r="U23" s="466"/>
      <c r="V23" s="466">
        <v>0</v>
      </c>
      <c r="W23" s="466"/>
      <c r="X23" s="1"/>
    </row>
    <row r="24" spans="1:24" ht="9" customHeight="1">
      <c r="A24" s="475"/>
      <c r="B24" s="475"/>
      <c r="C24" s="475"/>
      <c r="D24" s="465"/>
      <c r="E24" s="465"/>
      <c r="F24" s="5" t="s">
        <v>23</v>
      </c>
      <c r="G24" s="466">
        <v>4048.8</v>
      </c>
      <c r="H24" s="466"/>
      <c r="I24" s="13">
        <v>4048.8</v>
      </c>
      <c r="J24" s="13">
        <v>4048.8</v>
      </c>
      <c r="K24" s="13"/>
      <c r="L24" s="13">
        <v>4048.8</v>
      </c>
      <c r="M24" s="13"/>
      <c r="N24" s="13"/>
      <c r="O24" s="13"/>
      <c r="P24" s="13"/>
      <c r="Q24" s="13"/>
      <c r="R24" s="13"/>
      <c r="S24" s="13"/>
      <c r="T24" s="466"/>
      <c r="U24" s="466"/>
      <c r="V24" s="466">
        <v>0</v>
      </c>
      <c r="W24" s="466"/>
      <c r="X24" s="1"/>
    </row>
    <row r="25" spans="1:24" ht="9" customHeight="1">
      <c r="A25" s="475"/>
      <c r="B25" s="475"/>
      <c r="C25" s="475"/>
      <c r="D25" s="465"/>
      <c r="E25" s="465"/>
      <c r="F25" s="5" t="s">
        <v>24</v>
      </c>
      <c r="G25" s="466">
        <v>2084638.41</v>
      </c>
      <c r="H25" s="466"/>
      <c r="I25" s="13">
        <v>2064638.41</v>
      </c>
      <c r="J25" s="13">
        <v>1986933.41</v>
      </c>
      <c r="K25" s="13">
        <v>1516752</v>
      </c>
      <c r="L25" s="13">
        <v>470181.41</v>
      </c>
      <c r="M25" s="13"/>
      <c r="N25" s="13">
        <v>77705</v>
      </c>
      <c r="O25" s="13"/>
      <c r="P25" s="13"/>
      <c r="Q25" s="13"/>
      <c r="R25" s="13">
        <v>20000</v>
      </c>
      <c r="S25" s="13">
        <v>20000</v>
      </c>
      <c r="T25" s="466"/>
      <c r="U25" s="466"/>
      <c r="V25" s="466">
        <v>0</v>
      </c>
      <c r="W25" s="466"/>
      <c r="X25" s="1"/>
    </row>
    <row r="26" spans="1:24" ht="9" customHeight="1">
      <c r="A26" s="467"/>
      <c r="B26" s="467"/>
      <c r="C26" s="467">
        <v>75023</v>
      </c>
      <c r="D26" s="468" t="s">
        <v>28</v>
      </c>
      <c r="E26" s="468"/>
      <c r="F26" s="6" t="s">
        <v>21</v>
      </c>
      <c r="G26" s="469">
        <v>1873913.41</v>
      </c>
      <c r="H26" s="469"/>
      <c r="I26" s="14">
        <v>1853913.41</v>
      </c>
      <c r="J26" s="14">
        <v>1852413.41</v>
      </c>
      <c r="K26" s="14">
        <v>1447133</v>
      </c>
      <c r="L26" s="14">
        <v>405280.41</v>
      </c>
      <c r="M26" s="14"/>
      <c r="N26" s="14">
        <v>1500</v>
      </c>
      <c r="O26" s="14"/>
      <c r="P26" s="14"/>
      <c r="Q26" s="14"/>
      <c r="R26" s="14">
        <v>20000</v>
      </c>
      <c r="S26" s="14">
        <v>20000</v>
      </c>
      <c r="T26" s="469"/>
      <c r="U26" s="469"/>
      <c r="V26" s="469">
        <v>0</v>
      </c>
      <c r="W26" s="469"/>
      <c r="X26" s="1"/>
    </row>
    <row r="27" spans="1:24" ht="9" customHeight="1">
      <c r="A27" s="467"/>
      <c r="B27" s="467"/>
      <c r="C27" s="467"/>
      <c r="D27" s="468"/>
      <c r="E27" s="468"/>
      <c r="F27" s="5" t="s">
        <v>22</v>
      </c>
      <c r="G27" s="466">
        <v>-48.8</v>
      </c>
      <c r="H27" s="466"/>
      <c r="I27" s="13">
        <v>-48.8</v>
      </c>
      <c r="J27" s="13">
        <v>-48.8</v>
      </c>
      <c r="K27" s="13"/>
      <c r="L27" s="13">
        <v>-48.8</v>
      </c>
      <c r="M27" s="13"/>
      <c r="N27" s="13"/>
      <c r="O27" s="13"/>
      <c r="P27" s="13"/>
      <c r="Q27" s="13"/>
      <c r="R27" s="13"/>
      <c r="S27" s="13"/>
      <c r="T27" s="466"/>
      <c r="U27" s="466"/>
      <c r="V27" s="466">
        <v>0</v>
      </c>
      <c r="W27" s="466"/>
      <c r="X27" s="1"/>
    </row>
    <row r="28" spans="1:24" ht="9" customHeight="1">
      <c r="A28" s="467"/>
      <c r="B28" s="467"/>
      <c r="C28" s="467"/>
      <c r="D28" s="468"/>
      <c r="E28" s="468"/>
      <c r="F28" s="5" t="s">
        <v>23</v>
      </c>
      <c r="G28" s="466">
        <v>4048.8</v>
      </c>
      <c r="H28" s="466"/>
      <c r="I28" s="13">
        <v>4048.8</v>
      </c>
      <c r="J28" s="13">
        <v>4048.8</v>
      </c>
      <c r="K28" s="13"/>
      <c r="L28" s="13">
        <v>4048.8</v>
      </c>
      <c r="M28" s="13"/>
      <c r="N28" s="13"/>
      <c r="O28" s="13"/>
      <c r="P28" s="13"/>
      <c r="Q28" s="13"/>
      <c r="R28" s="13"/>
      <c r="S28" s="13"/>
      <c r="T28" s="466"/>
      <c r="U28" s="466"/>
      <c r="V28" s="466">
        <v>0</v>
      </c>
      <c r="W28" s="466"/>
      <c r="X28" s="1"/>
    </row>
    <row r="29" spans="1:24" ht="9" customHeight="1">
      <c r="A29" s="467"/>
      <c r="B29" s="467"/>
      <c r="C29" s="467"/>
      <c r="D29" s="468"/>
      <c r="E29" s="468"/>
      <c r="F29" s="5" t="s">
        <v>24</v>
      </c>
      <c r="G29" s="466">
        <v>1877913.41</v>
      </c>
      <c r="H29" s="466"/>
      <c r="I29" s="13">
        <v>1857913.41</v>
      </c>
      <c r="J29" s="13">
        <v>1856413.41</v>
      </c>
      <c r="K29" s="13">
        <v>1447133</v>
      </c>
      <c r="L29" s="13">
        <v>409280.41</v>
      </c>
      <c r="M29" s="13"/>
      <c r="N29" s="13">
        <v>1500</v>
      </c>
      <c r="O29" s="13"/>
      <c r="P29" s="13"/>
      <c r="Q29" s="13"/>
      <c r="R29" s="13">
        <v>20000</v>
      </c>
      <c r="S29" s="13">
        <v>20000</v>
      </c>
      <c r="T29" s="466"/>
      <c r="U29" s="466"/>
      <c r="V29" s="466">
        <v>0</v>
      </c>
      <c r="W29" s="466"/>
      <c r="X29" s="1"/>
    </row>
    <row r="30" spans="1:24" ht="9" customHeight="1">
      <c r="A30" s="475">
        <v>801</v>
      </c>
      <c r="B30" s="475"/>
      <c r="C30" s="475"/>
      <c r="D30" s="465" t="s">
        <v>29</v>
      </c>
      <c r="E30" s="465"/>
      <c r="F30" s="5" t="s">
        <v>21</v>
      </c>
      <c r="G30" s="466">
        <v>5306086.34</v>
      </c>
      <c r="H30" s="466"/>
      <c r="I30" s="13">
        <v>5261086.34</v>
      </c>
      <c r="J30" s="13">
        <v>4500774</v>
      </c>
      <c r="K30" s="13">
        <v>3749475</v>
      </c>
      <c r="L30" s="13">
        <v>751299</v>
      </c>
      <c r="M30" s="13">
        <v>486046.64</v>
      </c>
      <c r="N30" s="13">
        <v>210963</v>
      </c>
      <c r="O30" s="13">
        <v>63302.7</v>
      </c>
      <c r="P30" s="13"/>
      <c r="Q30" s="13"/>
      <c r="R30" s="13">
        <v>45000</v>
      </c>
      <c r="S30" s="13">
        <v>45000</v>
      </c>
      <c r="T30" s="466"/>
      <c r="U30" s="466"/>
      <c r="V30" s="466">
        <v>0</v>
      </c>
      <c r="W30" s="466"/>
      <c r="X30" s="1"/>
    </row>
    <row r="31" spans="1:24" ht="9" customHeight="1">
      <c r="A31" s="475"/>
      <c r="B31" s="475"/>
      <c r="C31" s="475"/>
      <c r="D31" s="465"/>
      <c r="E31" s="465"/>
      <c r="F31" s="5" t="s">
        <v>22</v>
      </c>
      <c r="G31" s="466"/>
      <c r="H31" s="466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466"/>
      <c r="U31" s="466"/>
      <c r="V31" s="466">
        <v>0</v>
      </c>
      <c r="W31" s="466"/>
      <c r="X31" s="1"/>
    </row>
    <row r="32" spans="1:24" ht="9" customHeight="1">
      <c r="A32" s="475"/>
      <c r="B32" s="475"/>
      <c r="C32" s="475"/>
      <c r="D32" s="465"/>
      <c r="E32" s="465"/>
      <c r="F32" s="5" t="s">
        <v>23</v>
      </c>
      <c r="G32" s="466">
        <v>10000</v>
      </c>
      <c r="H32" s="466"/>
      <c r="I32" s="13">
        <v>10000</v>
      </c>
      <c r="J32" s="13"/>
      <c r="K32" s="13"/>
      <c r="L32" s="13"/>
      <c r="M32" s="13">
        <v>10000</v>
      </c>
      <c r="N32" s="13"/>
      <c r="O32" s="13"/>
      <c r="P32" s="13"/>
      <c r="Q32" s="13"/>
      <c r="R32" s="13"/>
      <c r="S32" s="13"/>
      <c r="T32" s="466"/>
      <c r="U32" s="466"/>
      <c r="V32" s="466">
        <v>0</v>
      </c>
      <c r="W32" s="466"/>
      <c r="X32" s="1"/>
    </row>
    <row r="33" spans="1:24" ht="9" customHeight="1">
      <c r="A33" s="475"/>
      <c r="B33" s="475"/>
      <c r="C33" s="475"/>
      <c r="D33" s="465"/>
      <c r="E33" s="465"/>
      <c r="F33" s="5" t="s">
        <v>24</v>
      </c>
      <c r="G33" s="466">
        <v>5316086.34</v>
      </c>
      <c r="H33" s="466"/>
      <c r="I33" s="13">
        <v>5271086.34</v>
      </c>
      <c r="J33" s="13">
        <v>4500774</v>
      </c>
      <c r="K33" s="13">
        <v>3749475</v>
      </c>
      <c r="L33" s="13">
        <v>751299</v>
      </c>
      <c r="M33" s="13">
        <v>496046.64</v>
      </c>
      <c r="N33" s="13">
        <v>210963</v>
      </c>
      <c r="O33" s="13">
        <v>63302.7</v>
      </c>
      <c r="P33" s="13"/>
      <c r="Q33" s="13"/>
      <c r="R33" s="13">
        <v>45000</v>
      </c>
      <c r="S33" s="13">
        <v>45000</v>
      </c>
      <c r="T33" s="466"/>
      <c r="U33" s="466"/>
      <c r="V33" s="466">
        <v>0</v>
      </c>
      <c r="W33" s="466"/>
      <c r="X33" s="1"/>
    </row>
    <row r="34" spans="1:24" ht="9" customHeight="1">
      <c r="A34" s="467"/>
      <c r="B34" s="467"/>
      <c r="C34" s="467">
        <v>80104</v>
      </c>
      <c r="D34" s="468" t="s">
        <v>30</v>
      </c>
      <c r="E34" s="468"/>
      <c r="F34" s="6" t="s">
        <v>21</v>
      </c>
      <c r="G34" s="469">
        <v>296046.64</v>
      </c>
      <c r="H34" s="469"/>
      <c r="I34" s="14">
        <v>296046.64</v>
      </c>
      <c r="J34" s="14"/>
      <c r="K34" s="14"/>
      <c r="L34" s="14"/>
      <c r="M34" s="14">
        <v>296046.64</v>
      </c>
      <c r="N34" s="14"/>
      <c r="O34" s="14"/>
      <c r="P34" s="14"/>
      <c r="Q34" s="14"/>
      <c r="R34" s="14"/>
      <c r="S34" s="14"/>
      <c r="T34" s="469"/>
      <c r="U34" s="469"/>
      <c r="V34" s="469">
        <v>0</v>
      </c>
      <c r="W34" s="469"/>
      <c r="X34" s="1"/>
    </row>
    <row r="35" spans="1:24" ht="9" customHeight="1">
      <c r="A35" s="467"/>
      <c r="B35" s="467"/>
      <c r="C35" s="467"/>
      <c r="D35" s="468"/>
      <c r="E35" s="468"/>
      <c r="F35" s="5" t="s">
        <v>22</v>
      </c>
      <c r="G35" s="466"/>
      <c r="H35" s="466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466"/>
      <c r="U35" s="466"/>
      <c r="V35" s="466">
        <v>0</v>
      </c>
      <c r="W35" s="466"/>
      <c r="X35" s="1"/>
    </row>
    <row r="36" spans="1:24" ht="9" customHeight="1">
      <c r="A36" s="467"/>
      <c r="B36" s="467"/>
      <c r="C36" s="467"/>
      <c r="D36" s="468"/>
      <c r="E36" s="468"/>
      <c r="F36" s="5" t="s">
        <v>23</v>
      </c>
      <c r="G36" s="466">
        <v>10000</v>
      </c>
      <c r="H36" s="466"/>
      <c r="I36" s="13">
        <v>10000</v>
      </c>
      <c r="J36" s="13"/>
      <c r="K36" s="13"/>
      <c r="L36" s="13"/>
      <c r="M36" s="13">
        <v>10000</v>
      </c>
      <c r="N36" s="13"/>
      <c r="O36" s="13"/>
      <c r="P36" s="13"/>
      <c r="Q36" s="13"/>
      <c r="R36" s="13"/>
      <c r="S36" s="13"/>
      <c r="T36" s="466"/>
      <c r="U36" s="466"/>
      <c r="V36" s="466">
        <v>0</v>
      </c>
      <c r="W36" s="466"/>
      <c r="X36" s="1"/>
    </row>
    <row r="37" spans="1:24" ht="9" customHeight="1">
      <c r="A37" s="467"/>
      <c r="B37" s="467"/>
      <c r="C37" s="467"/>
      <c r="D37" s="468"/>
      <c r="E37" s="468"/>
      <c r="F37" s="5" t="s">
        <v>24</v>
      </c>
      <c r="G37" s="466">
        <v>306046.64</v>
      </c>
      <c r="H37" s="466"/>
      <c r="I37" s="13">
        <v>306046.64</v>
      </c>
      <c r="J37" s="13"/>
      <c r="K37" s="13"/>
      <c r="L37" s="13"/>
      <c r="M37" s="13">
        <v>306046.64</v>
      </c>
      <c r="N37" s="13"/>
      <c r="O37" s="13"/>
      <c r="P37" s="13"/>
      <c r="Q37" s="13"/>
      <c r="R37" s="13"/>
      <c r="S37" s="13"/>
      <c r="T37" s="466"/>
      <c r="U37" s="466"/>
      <c r="V37" s="466">
        <v>0</v>
      </c>
      <c r="W37" s="466"/>
      <c r="X37" s="1"/>
    </row>
    <row r="38" spans="1:24" ht="9" customHeight="1">
      <c r="A38" s="475">
        <v>852</v>
      </c>
      <c r="B38" s="475"/>
      <c r="C38" s="475"/>
      <c r="D38" s="465" t="s">
        <v>31</v>
      </c>
      <c r="E38" s="465"/>
      <c r="F38" s="5" t="s">
        <v>21</v>
      </c>
      <c r="G38" s="466">
        <v>3210225.4</v>
      </c>
      <c r="H38" s="466"/>
      <c r="I38" s="13">
        <v>3210225.4</v>
      </c>
      <c r="J38" s="13">
        <v>560158.4</v>
      </c>
      <c r="K38" s="13">
        <v>359398</v>
      </c>
      <c r="L38" s="13">
        <v>200760.4</v>
      </c>
      <c r="M38" s="13"/>
      <c r="N38" s="13">
        <v>2458783.77</v>
      </c>
      <c r="O38" s="13">
        <v>191283.23</v>
      </c>
      <c r="P38" s="13"/>
      <c r="Q38" s="13"/>
      <c r="R38" s="13"/>
      <c r="S38" s="13"/>
      <c r="T38" s="466"/>
      <c r="U38" s="466"/>
      <c r="V38" s="466">
        <v>0</v>
      </c>
      <c r="W38" s="466"/>
      <c r="X38" s="1"/>
    </row>
    <row r="39" spans="1:24" ht="9" customHeight="1">
      <c r="A39" s="475"/>
      <c r="B39" s="475"/>
      <c r="C39" s="475"/>
      <c r="D39" s="465"/>
      <c r="E39" s="465"/>
      <c r="F39" s="5" t="s">
        <v>22</v>
      </c>
      <c r="G39" s="466"/>
      <c r="H39" s="466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466"/>
      <c r="U39" s="466"/>
      <c r="V39" s="466">
        <v>0</v>
      </c>
      <c r="W39" s="466"/>
      <c r="X39" s="1"/>
    </row>
    <row r="40" spans="1:24" ht="9" customHeight="1">
      <c r="A40" s="475"/>
      <c r="B40" s="475"/>
      <c r="C40" s="475"/>
      <c r="D40" s="465"/>
      <c r="E40" s="465"/>
      <c r="F40" s="5" t="s">
        <v>23</v>
      </c>
      <c r="G40" s="466">
        <v>1300</v>
      </c>
      <c r="H40" s="466"/>
      <c r="I40" s="13">
        <v>1300</v>
      </c>
      <c r="J40" s="13">
        <v>1300</v>
      </c>
      <c r="K40" s="13"/>
      <c r="L40" s="13">
        <v>1300</v>
      </c>
      <c r="M40" s="13"/>
      <c r="N40" s="13"/>
      <c r="O40" s="13"/>
      <c r="P40" s="13"/>
      <c r="Q40" s="13"/>
      <c r="R40" s="13"/>
      <c r="S40" s="13"/>
      <c r="T40" s="466"/>
      <c r="U40" s="466"/>
      <c r="V40" s="466">
        <v>0</v>
      </c>
      <c r="W40" s="466"/>
      <c r="X40" s="1"/>
    </row>
    <row r="41" spans="1:24" ht="9" customHeight="1">
      <c r="A41" s="475"/>
      <c r="B41" s="475"/>
      <c r="C41" s="475"/>
      <c r="D41" s="465"/>
      <c r="E41" s="465"/>
      <c r="F41" s="5" t="s">
        <v>24</v>
      </c>
      <c r="G41" s="466">
        <v>3211525.4</v>
      </c>
      <c r="H41" s="466"/>
      <c r="I41" s="13">
        <v>3211525.4</v>
      </c>
      <c r="J41" s="13">
        <v>561458.4</v>
      </c>
      <c r="K41" s="13">
        <v>359398</v>
      </c>
      <c r="L41" s="13">
        <v>202060.4</v>
      </c>
      <c r="M41" s="13"/>
      <c r="N41" s="13">
        <v>2458783.77</v>
      </c>
      <c r="O41" s="13">
        <v>191283.23</v>
      </c>
      <c r="P41" s="13"/>
      <c r="Q41" s="13"/>
      <c r="R41" s="13"/>
      <c r="S41" s="13"/>
      <c r="T41" s="466"/>
      <c r="U41" s="466"/>
      <c r="V41" s="466">
        <v>0</v>
      </c>
      <c r="W41" s="466"/>
      <c r="X41" s="1"/>
    </row>
    <row r="42" spans="1:24" ht="9" customHeight="1">
      <c r="A42" s="467"/>
      <c r="B42" s="467"/>
      <c r="C42" s="467">
        <v>85201</v>
      </c>
      <c r="D42" s="468" t="s">
        <v>32</v>
      </c>
      <c r="E42" s="468"/>
      <c r="F42" s="6" t="s">
        <v>21</v>
      </c>
      <c r="G42" s="469">
        <v>4771.4</v>
      </c>
      <c r="H42" s="469"/>
      <c r="I42" s="14">
        <v>4771.4</v>
      </c>
      <c r="J42" s="14">
        <v>4771.4</v>
      </c>
      <c r="K42" s="14"/>
      <c r="L42" s="14">
        <v>4771.4</v>
      </c>
      <c r="M42" s="14"/>
      <c r="N42" s="14"/>
      <c r="O42" s="14"/>
      <c r="P42" s="14"/>
      <c r="Q42" s="14"/>
      <c r="R42" s="14"/>
      <c r="S42" s="14"/>
      <c r="T42" s="469"/>
      <c r="U42" s="469"/>
      <c r="V42" s="469">
        <v>0</v>
      </c>
      <c r="W42" s="469"/>
      <c r="X42" s="1"/>
    </row>
    <row r="43" spans="1:24" ht="9" customHeight="1">
      <c r="A43" s="467"/>
      <c r="B43" s="467"/>
      <c r="C43" s="467"/>
      <c r="D43" s="468"/>
      <c r="E43" s="468"/>
      <c r="F43" s="5" t="s">
        <v>22</v>
      </c>
      <c r="G43" s="466"/>
      <c r="H43" s="466"/>
      <c r="I43" s="13"/>
      <c r="J43" s="13"/>
      <c r="K43" s="13"/>
      <c r="L43" s="13">
        <v>0</v>
      </c>
      <c r="M43" s="13"/>
      <c r="N43" s="13"/>
      <c r="O43" s="13"/>
      <c r="P43" s="13"/>
      <c r="Q43" s="13"/>
      <c r="R43" s="13"/>
      <c r="S43" s="13"/>
      <c r="T43" s="466"/>
      <c r="U43" s="466"/>
      <c r="V43" s="466">
        <v>0</v>
      </c>
      <c r="W43" s="466"/>
      <c r="X43" s="1"/>
    </row>
    <row r="44" spans="1:24" ht="9" customHeight="1">
      <c r="A44" s="467"/>
      <c r="B44" s="467"/>
      <c r="C44" s="467"/>
      <c r="D44" s="468"/>
      <c r="E44" s="468"/>
      <c r="F44" s="5" t="s">
        <v>23</v>
      </c>
      <c r="G44" s="466">
        <v>1300</v>
      </c>
      <c r="H44" s="466"/>
      <c r="I44" s="13">
        <v>1300</v>
      </c>
      <c r="J44" s="13">
        <v>1300</v>
      </c>
      <c r="K44" s="13"/>
      <c r="L44" s="13">
        <v>1300</v>
      </c>
      <c r="M44" s="13"/>
      <c r="N44" s="13"/>
      <c r="O44" s="13"/>
      <c r="P44" s="13"/>
      <c r="Q44" s="13"/>
      <c r="R44" s="13"/>
      <c r="S44" s="13"/>
      <c r="T44" s="466"/>
      <c r="U44" s="466"/>
      <c r="V44" s="466">
        <v>0</v>
      </c>
      <c r="W44" s="466"/>
      <c r="X44" s="1"/>
    </row>
    <row r="45" spans="1:24" ht="9" customHeight="1">
      <c r="A45" s="467"/>
      <c r="B45" s="467"/>
      <c r="C45" s="467"/>
      <c r="D45" s="468"/>
      <c r="E45" s="468"/>
      <c r="F45" s="5" t="s">
        <v>24</v>
      </c>
      <c r="G45" s="466">
        <v>6071.4</v>
      </c>
      <c r="H45" s="466"/>
      <c r="I45" s="13">
        <v>6071.4</v>
      </c>
      <c r="J45" s="13">
        <v>6071.4</v>
      </c>
      <c r="K45" s="13"/>
      <c r="L45" s="13">
        <v>6071.4</v>
      </c>
      <c r="M45" s="13"/>
      <c r="N45" s="13"/>
      <c r="O45" s="13"/>
      <c r="P45" s="13"/>
      <c r="Q45" s="13"/>
      <c r="R45" s="13"/>
      <c r="S45" s="13"/>
      <c r="T45" s="466"/>
      <c r="U45" s="466"/>
      <c r="V45" s="466">
        <v>0</v>
      </c>
      <c r="W45" s="466"/>
      <c r="X45" s="1"/>
    </row>
    <row r="46" spans="1:24" ht="9" customHeight="1">
      <c r="A46" s="475">
        <v>854</v>
      </c>
      <c r="B46" s="475"/>
      <c r="C46" s="475"/>
      <c r="D46" s="465" t="s">
        <v>33</v>
      </c>
      <c r="E46" s="465"/>
      <c r="F46" s="5" t="s">
        <v>21</v>
      </c>
      <c r="G46" s="466">
        <v>183988.6</v>
      </c>
      <c r="H46" s="466"/>
      <c r="I46" s="13">
        <v>183988.6</v>
      </c>
      <c r="J46" s="13">
        <v>9520</v>
      </c>
      <c r="K46" s="13"/>
      <c r="L46" s="13">
        <v>9520</v>
      </c>
      <c r="M46" s="13">
        <v>3184.6</v>
      </c>
      <c r="N46" s="13">
        <v>171284</v>
      </c>
      <c r="O46" s="13"/>
      <c r="P46" s="13"/>
      <c r="Q46" s="13"/>
      <c r="R46" s="13"/>
      <c r="S46" s="13"/>
      <c r="T46" s="466"/>
      <c r="U46" s="466"/>
      <c r="V46" s="466">
        <v>0</v>
      </c>
      <c r="W46" s="466"/>
      <c r="X46" s="1"/>
    </row>
    <row r="47" spans="1:24" ht="9" customHeight="1">
      <c r="A47" s="475"/>
      <c r="B47" s="475"/>
      <c r="C47" s="475"/>
      <c r="D47" s="465"/>
      <c r="E47" s="465"/>
      <c r="F47" s="5" t="s">
        <v>22</v>
      </c>
      <c r="G47" s="466">
        <v>-16000</v>
      </c>
      <c r="H47" s="466"/>
      <c r="I47" s="13">
        <v>-16000</v>
      </c>
      <c r="J47" s="13"/>
      <c r="K47" s="13"/>
      <c r="L47" s="13"/>
      <c r="M47" s="13"/>
      <c r="N47" s="13">
        <v>-16000</v>
      </c>
      <c r="O47" s="13"/>
      <c r="P47" s="13"/>
      <c r="Q47" s="13"/>
      <c r="R47" s="13"/>
      <c r="S47" s="13"/>
      <c r="T47" s="466"/>
      <c r="U47" s="466"/>
      <c r="V47" s="466">
        <v>0</v>
      </c>
      <c r="W47" s="466"/>
      <c r="X47" s="1"/>
    </row>
    <row r="48" spans="1:24" ht="9" customHeight="1">
      <c r="A48" s="475"/>
      <c r="B48" s="475"/>
      <c r="C48" s="475"/>
      <c r="D48" s="465"/>
      <c r="E48" s="465"/>
      <c r="F48" s="5" t="s">
        <v>23</v>
      </c>
      <c r="G48" s="466"/>
      <c r="H48" s="466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466"/>
      <c r="U48" s="466"/>
      <c r="V48" s="466">
        <v>0</v>
      </c>
      <c r="W48" s="466"/>
      <c r="X48" s="1"/>
    </row>
    <row r="49" spans="1:24" ht="9" customHeight="1">
      <c r="A49" s="475"/>
      <c r="B49" s="475"/>
      <c r="C49" s="475"/>
      <c r="D49" s="465"/>
      <c r="E49" s="465"/>
      <c r="F49" s="5" t="s">
        <v>24</v>
      </c>
      <c r="G49" s="466">
        <v>167988.6</v>
      </c>
      <c r="H49" s="466"/>
      <c r="I49" s="13">
        <v>167988.6</v>
      </c>
      <c r="J49" s="13">
        <v>9520</v>
      </c>
      <c r="K49" s="13"/>
      <c r="L49" s="13">
        <v>9520</v>
      </c>
      <c r="M49" s="13">
        <v>3184.6</v>
      </c>
      <c r="N49" s="13">
        <v>155284</v>
      </c>
      <c r="O49" s="13"/>
      <c r="P49" s="13"/>
      <c r="Q49" s="13"/>
      <c r="R49" s="13"/>
      <c r="S49" s="13"/>
      <c r="T49" s="466"/>
      <c r="U49" s="466"/>
      <c r="V49" s="466">
        <v>0</v>
      </c>
      <c r="W49" s="466"/>
      <c r="X49" s="1"/>
    </row>
    <row r="50" spans="1:24" ht="9" customHeight="1">
      <c r="A50" s="467"/>
      <c r="B50" s="467"/>
      <c r="C50" s="467">
        <v>85415</v>
      </c>
      <c r="D50" s="468" t="s">
        <v>34</v>
      </c>
      <c r="E50" s="468"/>
      <c r="F50" s="6" t="s">
        <v>21</v>
      </c>
      <c r="G50" s="469">
        <v>171284</v>
      </c>
      <c r="H50" s="469"/>
      <c r="I50" s="14">
        <v>171284</v>
      </c>
      <c r="J50" s="14"/>
      <c r="K50" s="14"/>
      <c r="L50" s="14"/>
      <c r="M50" s="14"/>
      <c r="N50" s="14">
        <v>171284</v>
      </c>
      <c r="O50" s="14"/>
      <c r="P50" s="14"/>
      <c r="Q50" s="14"/>
      <c r="R50" s="14"/>
      <c r="S50" s="14"/>
      <c r="T50" s="469"/>
      <c r="U50" s="469"/>
      <c r="V50" s="469">
        <v>0</v>
      </c>
      <c r="W50" s="469"/>
      <c r="X50" s="1"/>
    </row>
    <row r="51" spans="1:24" ht="9" customHeight="1">
      <c r="A51" s="467"/>
      <c r="B51" s="467"/>
      <c r="C51" s="467"/>
      <c r="D51" s="468"/>
      <c r="E51" s="468"/>
      <c r="F51" s="5" t="s">
        <v>22</v>
      </c>
      <c r="G51" s="466">
        <v>-16000</v>
      </c>
      <c r="H51" s="466"/>
      <c r="I51" s="13">
        <v>-16000</v>
      </c>
      <c r="J51" s="13"/>
      <c r="K51" s="13"/>
      <c r="L51" s="13"/>
      <c r="M51" s="13"/>
      <c r="N51" s="13">
        <v>-16000</v>
      </c>
      <c r="O51" s="13"/>
      <c r="P51" s="13"/>
      <c r="Q51" s="13"/>
      <c r="R51" s="13"/>
      <c r="S51" s="13"/>
      <c r="T51" s="466"/>
      <c r="U51" s="466"/>
      <c r="V51" s="466">
        <v>0</v>
      </c>
      <c r="W51" s="466"/>
      <c r="X51" s="1"/>
    </row>
    <row r="52" spans="1:24" ht="9" customHeight="1">
      <c r="A52" s="467"/>
      <c r="B52" s="467"/>
      <c r="C52" s="467"/>
      <c r="D52" s="468"/>
      <c r="E52" s="468"/>
      <c r="F52" s="5" t="s">
        <v>23</v>
      </c>
      <c r="G52" s="466"/>
      <c r="H52" s="466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466"/>
      <c r="U52" s="466"/>
      <c r="V52" s="466">
        <v>0</v>
      </c>
      <c r="W52" s="466"/>
      <c r="X52" s="1"/>
    </row>
    <row r="53" spans="1:24" ht="9" customHeight="1">
      <c r="A53" s="467"/>
      <c r="B53" s="467"/>
      <c r="C53" s="467"/>
      <c r="D53" s="468"/>
      <c r="E53" s="468"/>
      <c r="F53" s="5" t="s">
        <v>24</v>
      </c>
      <c r="G53" s="466">
        <v>155284</v>
      </c>
      <c r="H53" s="466"/>
      <c r="I53" s="13">
        <v>155284</v>
      </c>
      <c r="J53" s="13"/>
      <c r="K53" s="13"/>
      <c r="L53" s="13"/>
      <c r="M53" s="13"/>
      <c r="N53" s="13">
        <v>155284</v>
      </c>
      <c r="O53" s="13"/>
      <c r="P53" s="13"/>
      <c r="Q53" s="13"/>
      <c r="R53" s="13"/>
      <c r="S53" s="13"/>
      <c r="T53" s="466"/>
      <c r="U53" s="466"/>
      <c r="V53" s="466">
        <v>0</v>
      </c>
      <c r="W53" s="466"/>
      <c r="X53" s="1"/>
    </row>
    <row r="54" spans="1:24" ht="9" customHeight="1">
      <c r="A54" s="475">
        <v>921</v>
      </c>
      <c r="B54" s="475"/>
      <c r="C54" s="475"/>
      <c r="D54" s="465" t="s">
        <v>35</v>
      </c>
      <c r="E54" s="465"/>
      <c r="F54" s="5" t="s">
        <v>21</v>
      </c>
      <c r="G54" s="466">
        <v>1245396.46</v>
      </c>
      <c r="H54" s="466"/>
      <c r="I54" s="13">
        <v>795276.46</v>
      </c>
      <c r="J54" s="13">
        <v>99038.91</v>
      </c>
      <c r="K54" s="13">
        <v>4250</v>
      </c>
      <c r="L54" s="13">
        <v>94788.91</v>
      </c>
      <c r="M54" s="13">
        <v>627400</v>
      </c>
      <c r="N54" s="13"/>
      <c r="O54" s="13">
        <v>68837.55</v>
      </c>
      <c r="P54" s="13"/>
      <c r="Q54" s="13"/>
      <c r="R54" s="13">
        <v>450120</v>
      </c>
      <c r="S54" s="13">
        <v>450120</v>
      </c>
      <c r="T54" s="466">
        <v>287565.87</v>
      </c>
      <c r="U54" s="466"/>
      <c r="V54" s="466">
        <v>0</v>
      </c>
      <c r="W54" s="466"/>
      <c r="X54" s="1"/>
    </row>
    <row r="55" spans="1:24" ht="9" customHeight="1">
      <c r="A55" s="475"/>
      <c r="B55" s="475"/>
      <c r="C55" s="475"/>
      <c r="D55" s="465"/>
      <c r="E55" s="465"/>
      <c r="F55" s="5" t="s">
        <v>22</v>
      </c>
      <c r="G55" s="466">
        <v>-15000</v>
      </c>
      <c r="H55" s="466"/>
      <c r="I55" s="13">
        <v>-10000</v>
      </c>
      <c r="J55" s="13">
        <v>-10000</v>
      </c>
      <c r="K55" s="13"/>
      <c r="L55" s="13">
        <v>-10000</v>
      </c>
      <c r="M55" s="13"/>
      <c r="N55" s="13"/>
      <c r="O55" s="13"/>
      <c r="P55" s="13"/>
      <c r="Q55" s="13"/>
      <c r="R55" s="13">
        <v>-5000</v>
      </c>
      <c r="S55" s="13">
        <v>-5000</v>
      </c>
      <c r="T55" s="466"/>
      <c r="U55" s="466"/>
      <c r="V55" s="466">
        <v>0</v>
      </c>
      <c r="W55" s="466"/>
      <c r="X55" s="1"/>
    </row>
    <row r="56" spans="1:24" ht="9" customHeight="1">
      <c r="A56" s="475"/>
      <c r="B56" s="475"/>
      <c r="C56" s="475"/>
      <c r="D56" s="465"/>
      <c r="E56" s="465"/>
      <c r="F56" s="5" t="s">
        <v>23</v>
      </c>
      <c r="G56" s="466">
        <v>15000</v>
      </c>
      <c r="H56" s="466"/>
      <c r="I56" s="13">
        <v>15000</v>
      </c>
      <c r="J56" s="13">
        <v>15000</v>
      </c>
      <c r="K56" s="13"/>
      <c r="L56" s="13">
        <v>15000</v>
      </c>
      <c r="M56" s="13"/>
      <c r="N56" s="13"/>
      <c r="O56" s="13"/>
      <c r="P56" s="13"/>
      <c r="Q56" s="13"/>
      <c r="R56" s="13"/>
      <c r="S56" s="13"/>
      <c r="T56" s="466"/>
      <c r="U56" s="466"/>
      <c r="V56" s="466">
        <v>0</v>
      </c>
      <c r="W56" s="466"/>
      <c r="X56" s="1"/>
    </row>
    <row r="57" spans="1:24" ht="9" customHeight="1">
      <c r="A57" s="475"/>
      <c r="B57" s="475"/>
      <c r="C57" s="475"/>
      <c r="D57" s="465"/>
      <c r="E57" s="465"/>
      <c r="F57" s="5" t="s">
        <v>24</v>
      </c>
      <c r="G57" s="466">
        <v>1245396.46</v>
      </c>
      <c r="H57" s="466"/>
      <c r="I57" s="13">
        <v>800276.46</v>
      </c>
      <c r="J57" s="13">
        <v>104038.91</v>
      </c>
      <c r="K57" s="13">
        <v>4250</v>
      </c>
      <c r="L57" s="13">
        <v>99788.91</v>
      </c>
      <c r="M57" s="13">
        <v>627400</v>
      </c>
      <c r="N57" s="13"/>
      <c r="O57" s="13">
        <v>68837.55</v>
      </c>
      <c r="P57" s="13"/>
      <c r="Q57" s="13"/>
      <c r="R57" s="13">
        <v>445120</v>
      </c>
      <c r="S57" s="13">
        <v>445120</v>
      </c>
      <c r="T57" s="466">
        <v>287565.87</v>
      </c>
      <c r="U57" s="466"/>
      <c r="V57" s="466">
        <v>0</v>
      </c>
      <c r="W57" s="466"/>
      <c r="X57" s="1"/>
    </row>
    <row r="58" spans="2:24" ht="12.75" customHeight="1">
      <c r="B58" s="476"/>
      <c r="C58" s="476"/>
      <c r="D58" s="476"/>
      <c r="E58" s="477"/>
      <c r="F58" s="477"/>
      <c r="G58" s="477"/>
      <c r="H58" s="484"/>
      <c r="I58" s="484"/>
      <c r="J58" s="484"/>
      <c r="K58" s="484"/>
      <c r="L58" s="484"/>
      <c r="M58" s="484"/>
      <c r="N58" s="484"/>
      <c r="O58" s="484"/>
      <c r="P58" s="484"/>
      <c r="Q58" s="484"/>
      <c r="R58" s="484"/>
      <c r="S58" s="484"/>
      <c r="T58" s="484"/>
      <c r="U58" s="484"/>
      <c r="V58" s="484"/>
      <c r="W58" s="484"/>
      <c r="X58" s="1"/>
    </row>
    <row r="59" spans="1:24" ht="9" customHeight="1">
      <c r="A59" s="475" t="s">
        <v>0</v>
      </c>
      <c r="B59" s="475"/>
      <c r="C59" s="475" t="s">
        <v>1</v>
      </c>
      <c r="D59" s="475" t="s">
        <v>2</v>
      </c>
      <c r="E59" s="475"/>
      <c r="F59" s="475"/>
      <c r="G59" s="475" t="s">
        <v>3</v>
      </c>
      <c r="H59" s="475"/>
      <c r="I59" s="475" t="s">
        <v>4</v>
      </c>
      <c r="J59" s="475"/>
      <c r="K59" s="475"/>
      <c r="L59" s="475"/>
      <c r="M59" s="475"/>
      <c r="N59" s="475"/>
      <c r="O59" s="475"/>
      <c r="P59" s="475"/>
      <c r="Q59" s="475"/>
      <c r="R59" s="475"/>
      <c r="S59" s="475"/>
      <c r="T59" s="475"/>
      <c r="U59" s="475"/>
      <c r="V59" s="475"/>
      <c r="W59" s="475"/>
      <c r="X59" s="1"/>
    </row>
    <row r="60" spans="1:24" ht="12.75" customHeight="1">
      <c r="A60" s="475"/>
      <c r="B60" s="475"/>
      <c r="C60" s="475"/>
      <c r="D60" s="475"/>
      <c r="E60" s="475"/>
      <c r="F60" s="475"/>
      <c r="G60" s="475"/>
      <c r="H60" s="475"/>
      <c r="I60" s="475" t="s">
        <v>5</v>
      </c>
      <c r="J60" s="475" t="s">
        <v>6</v>
      </c>
      <c r="K60" s="475"/>
      <c r="L60" s="475"/>
      <c r="M60" s="475"/>
      <c r="N60" s="475"/>
      <c r="O60" s="475"/>
      <c r="P60" s="475"/>
      <c r="Q60" s="475"/>
      <c r="R60" s="475" t="s">
        <v>7</v>
      </c>
      <c r="S60" s="475" t="s">
        <v>6</v>
      </c>
      <c r="T60" s="475"/>
      <c r="U60" s="475"/>
      <c r="V60" s="475"/>
      <c r="W60" s="475"/>
      <c r="X60" s="1"/>
    </row>
    <row r="61" spans="1:24" ht="2.25" customHeight="1">
      <c r="A61" s="475"/>
      <c r="B61" s="475"/>
      <c r="C61" s="475"/>
      <c r="D61" s="475"/>
      <c r="E61" s="475"/>
      <c r="F61" s="475"/>
      <c r="G61" s="475"/>
      <c r="H61" s="475"/>
      <c r="I61" s="475"/>
      <c r="J61" s="475"/>
      <c r="K61" s="475"/>
      <c r="L61" s="475"/>
      <c r="M61" s="475"/>
      <c r="N61" s="475"/>
      <c r="O61" s="475"/>
      <c r="P61" s="475"/>
      <c r="Q61" s="475"/>
      <c r="R61" s="475"/>
      <c r="S61" s="475" t="s">
        <v>8</v>
      </c>
      <c r="T61" s="475" t="s">
        <v>9</v>
      </c>
      <c r="U61" s="475"/>
      <c r="V61" s="475" t="s">
        <v>10</v>
      </c>
      <c r="W61" s="475"/>
      <c r="X61" s="1"/>
    </row>
    <row r="62" spans="1:24" ht="6" customHeight="1">
      <c r="A62" s="475"/>
      <c r="B62" s="475"/>
      <c r="C62" s="475"/>
      <c r="D62" s="475"/>
      <c r="E62" s="475"/>
      <c r="F62" s="475"/>
      <c r="G62" s="475"/>
      <c r="H62" s="475"/>
      <c r="I62" s="475"/>
      <c r="J62" s="475" t="s">
        <v>11</v>
      </c>
      <c r="K62" s="475" t="s">
        <v>6</v>
      </c>
      <c r="L62" s="475"/>
      <c r="M62" s="475" t="s">
        <v>12</v>
      </c>
      <c r="N62" s="475" t="s">
        <v>13</v>
      </c>
      <c r="O62" s="475" t="s">
        <v>14</v>
      </c>
      <c r="P62" s="475" t="s">
        <v>15</v>
      </c>
      <c r="Q62" s="475" t="s">
        <v>16</v>
      </c>
      <c r="R62" s="475"/>
      <c r="S62" s="475"/>
      <c r="T62" s="475"/>
      <c r="U62" s="475"/>
      <c r="V62" s="475"/>
      <c r="W62" s="475"/>
      <c r="X62" s="1"/>
    </row>
    <row r="63" spans="1:24" ht="2.25" customHeight="1">
      <c r="A63" s="475"/>
      <c r="B63" s="475"/>
      <c r="C63" s="475"/>
      <c r="D63" s="475"/>
      <c r="E63" s="475"/>
      <c r="F63" s="475"/>
      <c r="G63" s="475"/>
      <c r="H63" s="475"/>
      <c r="I63" s="475"/>
      <c r="J63" s="475"/>
      <c r="K63" s="475"/>
      <c r="L63" s="475"/>
      <c r="M63" s="475"/>
      <c r="N63" s="475"/>
      <c r="O63" s="475"/>
      <c r="P63" s="475"/>
      <c r="Q63" s="475"/>
      <c r="R63" s="475"/>
      <c r="S63" s="475"/>
      <c r="T63" s="475" t="s">
        <v>17</v>
      </c>
      <c r="U63" s="475"/>
      <c r="V63" s="475"/>
      <c r="W63" s="475"/>
      <c r="X63" s="1"/>
    </row>
    <row r="64" spans="1:24" ht="44.25" customHeight="1">
      <c r="A64" s="475"/>
      <c r="B64" s="475"/>
      <c r="C64" s="475"/>
      <c r="D64" s="475"/>
      <c r="E64" s="475"/>
      <c r="F64" s="475"/>
      <c r="G64" s="475"/>
      <c r="H64" s="475"/>
      <c r="I64" s="475"/>
      <c r="J64" s="475"/>
      <c r="K64" s="4" t="s">
        <v>18</v>
      </c>
      <c r="L64" s="4" t="s">
        <v>19</v>
      </c>
      <c r="M64" s="475"/>
      <c r="N64" s="475"/>
      <c r="O64" s="475"/>
      <c r="P64" s="475"/>
      <c r="Q64" s="475"/>
      <c r="R64" s="475"/>
      <c r="S64" s="475"/>
      <c r="T64" s="475"/>
      <c r="U64" s="475"/>
      <c r="V64" s="475"/>
      <c r="W64" s="475"/>
      <c r="X64" s="1"/>
    </row>
    <row r="65" spans="1:24" s="12" customFormat="1" ht="9" customHeight="1" thickBot="1">
      <c r="A65" s="464">
        <v>1</v>
      </c>
      <c r="B65" s="464"/>
      <c r="C65" s="10">
        <v>2</v>
      </c>
      <c r="D65" s="464">
        <v>3</v>
      </c>
      <c r="E65" s="464"/>
      <c r="F65" s="464"/>
      <c r="G65" s="464">
        <v>4</v>
      </c>
      <c r="H65" s="464"/>
      <c r="I65" s="10">
        <v>5</v>
      </c>
      <c r="J65" s="10">
        <v>6</v>
      </c>
      <c r="K65" s="10">
        <v>7</v>
      </c>
      <c r="L65" s="10">
        <v>8</v>
      </c>
      <c r="M65" s="10">
        <v>9</v>
      </c>
      <c r="N65" s="10">
        <v>10</v>
      </c>
      <c r="O65" s="10">
        <v>11</v>
      </c>
      <c r="P65" s="10">
        <v>12</v>
      </c>
      <c r="Q65" s="10">
        <v>13</v>
      </c>
      <c r="R65" s="10">
        <v>14</v>
      </c>
      <c r="S65" s="10">
        <v>15</v>
      </c>
      <c r="T65" s="464">
        <v>16</v>
      </c>
      <c r="U65" s="464"/>
      <c r="V65" s="464">
        <v>17</v>
      </c>
      <c r="W65" s="464"/>
      <c r="X65" s="11"/>
    </row>
    <row r="66" spans="1:24" ht="9" customHeight="1" thickBot="1">
      <c r="A66" s="467"/>
      <c r="B66" s="467"/>
      <c r="C66" s="467">
        <v>92109</v>
      </c>
      <c r="D66" s="468" t="s">
        <v>36</v>
      </c>
      <c r="E66" s="468"/>
      <c r="F66" s="6" t="s">
        <v>21</v>
      </c>
      <c r="G66" s="469">
        <v>809244.81</v>
      </c>
      <c r="H66" s="469"/>
      <c r="I66" s="14">
        <v>385624.81</v>
      </c>
      <c r="J66" s="14">
        <v>48487.91</v>
      </c>
      <c r="K66" s="14">
        <v>1500</v>
      </c>
      <c r="L66" s="14">
        <v>46987.91</v>
      </c>
      <c r="M66" s="14">
        <v>310000</v>
      </c>
      <c r="N66" s="14"/>
      <c r="O66" s="14">
        <v>27136.9</v>
      </c>
      <c r="P66" s="14"/>
      <c r="Q66" s="14"/>
      <c r="R66" s="14">
        <v>423620</v>
      </c>
      <c r="S66" s="14">
        <v>423620</v>
      </c>
      <c r="T66" s="469">
        <v>287565.87</v>
      </c>
      <c r="U66" s="469"/>
      <c r="V66" s="469"/>
      <c r="W66" s="469"/>
      <c r="X66" s="1"/>
    </row>
    <row r="67" spans="1:24" ht="9" customHeight="1">
      <c r="A67" s="467"/>
      <c r="B67" s="467"/>
      <c r="C67" s="467"/>
      <c r="D67" s="468"/>
      <c r="E67" s="468"/>
      <c r="F67" s="5" t="s">
        <v>22</v>
      </c>
      <c r="G67" s="466">
        <v>-10000</v>
      </c>
      <c r="H67" s="466"/>
      <c r="I67" s="13">
        <v>-10000</v>
      </c>
      <c r="J67" s="13">
        <v>-10000</v>
      </c>
      <c r="K67" s="13"/>
      <c r="L67" s="13">
        <v>-10000</v>
      </c>
      <c r="M67" s="13"/>
      <c r="N67" s="13"/>
      <c r="O67" s="13"/>
      <c r="P67" s="13"/>
      <c r="Q67" s="13"/>
      <c r="R67" s="13"/>
      <c r="S67" s="13"/>
      <c r="T67" s="466"/>
      <c r="U67" s="466"/>
      <c r="V67" s="466"/>
      <c r="W67" s="466"/>
      <c r="X67" s="1"/>
    </row>
    <row r="68" spans="1:24" ht="9" customHeight="1">
      <c r="A68" s="467"/>
      <c r="B68" s="467"/>
      <c r="C68" s="467"/>
      <c r="D68" s="468"/>
      <c r="E68" s="468"/>
      <c r="F68" s="5" t="s">
        <v>23</v>
      </c>
      <c r="G68" s="466">
        <v>10000</v>
      </c>
      <c r="H68" s="466"/>
      <c r="I68" s="13">
        <v>10000</v>
      </c>
      <c r="J68" s="13">
        <v>10000</v>
      </c>
      <c r="K68" s="13"/>
      <c r="L68" s="13">
        <v>10000</v>
      </c>
      <c r="M68" s="13"/>
      <c r="N68" s="13"/>
      <c r="O68" s="13"/>
      <c r="P68" s="13"/>
      <c r="Q68" s="13"/>
      <c r="R68" s="13"/>
      <c r="S68" s="13"/>
      <c r="T68" s="466"/>
      <c r="U68" s="466"/>
      <c r="V68" s="466"/>
      <c r="W68" s="466"/>
      <c r="X68" s="1"/>
    </row>
    <row r="69" spans="1:24" ht="9" customHeight="1">
      <c r="A69" s="467"/>
      <c r="B69" s="467"/>
      <c r="C69" s="467"/>
      <c r="D69" s="468"/>
      <c r="E69" s="468"/>
      <c r="F69" s="5" t="s">
        <v>24</v>
      </c>
      <c r="G69" s="466">
        <v>809244.81</v>
      </c>
      <c r="H69" s="466"/>
      <c r="I69" s="13">
        <v>385624.81</v>
      </c>
      <c r="J69" s="13">
        <v>48487.91</v>
      </c>
      <c r="K69" s="13">
        <v>1500</v>
      </c>
      <c r="L69" s="13">
        <v>46987.91</v>
      </c>
      <c r="M69" s="13">
        <v>310000</v>
      </c>
      <c r="N69" s="13"/>
      <c r="O69" s="13">
        <v>27136.9</v>
      </c>
      <c r="P69" s="13"/>
      <c r="Q69" s="13"/>
      <c r="R69" s="13">
        <v>423620</v>
      </c>
      <c r="S69" s="13">
        <v>423620</v>
      </c>
      <c r="T69" s="466">
        <v>287565.87</v>
      </c>
      <c r="U69" s="466"/>
      <c r="V69" s="466"/>
      <c r="W69" s="466"/>
      <c r="X69" s="1"/>
    </row>
    <row r="70" spans="1:24" ht="9" customHeight="1">
      <c r="A70" s="467"/>
      <c r="B70" s="467"/>
      <c r="C70" s="467">
        <v>92195</v>
      </c>
      <c r="D70" s="468" t="s">
        <v>37</v>
      </c>
      <c r="E70" s="468"/>
      <c r="F70" s="6" t="s">
        <v>21</v>
      </c>
      <c r="G70" s="469">
        <v>174251.65</v>
      </c>
      <c r="H70" s="469"/>
      <c r="I70" s="14">
        <v>147751.65</v>
      </c>
      <c r="J70" s="14">
        <v>50051</v>
      </c>
      <c r="K70" s="14">
        <v>2750</v>
      </c>
      <c r="L70" s="14">
        <v>47301</v>
      </c>
      <c r="M70" s="14">
        <v>56000</v>
      </c>
      <c r="N70" s="14"/>
      <c r="O70" s="14">
        <v>41700.65</v>
      </c>
      <c r="P70" s="14"/>
      <c r="Q70" s="14"/>
      <c r="R70" s="14">
        <v>26500</v>
      </c>
      <c r="S70" s="14">
        <v>26500</v>
      </c>
      <c r="T70" s="469"/>
      <c r="U70" s="469"/>
      <c r="V70" s="469"/>
      <c r="W70" s="469"/>
      <c r="X70" s="1"/>
    </row>
    <row r="71" spans="1:24" ht="9" customHeight="1">
      <c r="A71" s="467"/>
      <c r="B71" s="467"/>
      <c r="C71" s="467"/>
      <c r="D71" s="468"/>
      <c r="E71" s="468"/>
      <c r="F71" s="5" t="s">
        <v>22</v>
      </c>
      <c r="G71" s="466">
        <v>-5000</v>
      </c>
      <c r="H71" s="466"/>
      <c r="I71" s="13"/>
      <c r="J71" s="13"/>
      <c r="K71" s="13"/>
      <c r="L71" s="13"/>
      <c r="M71" s="13"/>
      <c r="N71" s="13"/>
      <c r="O71" s="13"/>
      <c r="P71" s="13"/>
      <c r="Q71" s="13"/>
      <c r="R71" s="13">
        <v>-5000</v>
      </c>
      <c r="S71" s="13">
        <v>-5000</v>
      </c>
      <c r="T71" s="466"/>
      <c r="U71" s="466"/>
      <c r="V71" s="466"/>
      <c r="W71" s="466"/>
      <c r="X71" s="1"/>
    </row>
    <row r="72" spans="1:24" ht="9" customHeight="1">
      <c r="A72" s="467"/>
      <c r="B72" s="467"/>
      <c r="C72" s="467"/>
      <c r="D72" s="468"/>
      <c r="E72" s="468"/>
      <c r="F72" s="5" t="s">
        <v>23</v>
      </c>
      <c r="G72" s="466">
        <v>5000</v>
      </c>
      <c r="H72" s="466"/>
      <c r="I72" s="13">
        <v>5000</v>
      </c>
      <c r="J72" s="13">
        <v>5000</v>
      </c>
      <c r="K72" s="13"/>
      <c r="L72" s="13">
        <v>5000</v>
      </c>
      <c r="M72" s="13"/>
      <c r="N72" s="13"/>
      <c r="O72" s="13"/>
      <c r="P72" s="13"/>
      <c r="Q72" s="13"/>
      <c r="R72" s="13"/>
      <c r="S72" s="13"/>
      <c r="T72" s="466"/>
      <c r="U72" s="466"/>
      <c r="V72" s="466"/>
      <c r="W72" s="466"/>
      <c r="X72" s="1"/>
    </row>
    <row r="73" spans="1:24" ht="9" customHeight="1" thickBot="1">
      <c r="A73" s="450"/>
      <c r="B73" s="450"/>
      <c r="C73" s="450"/>
      <c r="D73" s="451"/>
      <c r="E73" s="451"/>
      <c r="F73" s="2" t="s">
        <v>24</v>
      </c>
      <c r="G73" s="452">
        <v>174251.65</v>
      </c>
      <c r="H73" s="452"/>
      <c r="I73" s="15">
        <v>152751.65</v>
      </c>
      <c r="J73" s="15">
        <v>55051</v>
      </c>
      <c r="K73" s="15">
        <v>2750</v>
      </c>
      <c r="L73" s="15">
        <v>52301</v>
      </c>
      <c r="M73" s="15">
        <v>56000</v>
      </c>
      <c r="N73" s="15"/>
      <c r="O73" s="15">
        <v>41700.65</v>
      </c>
      <c r="P73" s="15"/>
      <c r="Q73" s="15"/>
      <c r="R73" s="15">
        <v>21500</v>
      </c>
      <c r="S73" s="15">
        <v>21500</v>
      </c>
      <c r="T73" s="452"/>
      <c r="U73" s="452"/>
      <c r="V73" s="452"/>
      <c r="W73" s="452"/>
      <c r="X73" s="1"/>
    </row>
    <row r="74" spans="1:24" ht="9" customHeight="1">
      <c r="A74" s="458" t="s">
        <v>38</v>
      </c>
      <c r="B74" s="459"/>
      <c r="C74" s="459"/>
      <c r="D74" s="459"/>
      <c r="E74" s="459"/>
      <c r="F74" s="3" t="s">
        <v>21</v>
      </c>
      <c r="G74" s="441">
        <v>17363517.2</v>
      </c>
      <c r="H74" s="441"/>
      <c r="I74" s="16">
        <v>15307511.02</v>
      </c>
      <c r="J74" s="16">
        <v>9509620.53</v>
      </c>
      <c r="K74" s="16">
        <v>5731946.1</v>
      </c>
      <c r="L74" s="16">
        <v>3777674.43</v>
      </c>
      <c r="M74" s="16">
        <v>2085631.24</v>
      </c>
      <c r="N74" s="16">
        <v>2940735.77</v>
      </c>
      <c r="O74" s="16">
        <v>323423.48</v>
      </c>
      <c r="P74" s="16">
        <v>0</v>
      </c>
      <c r="Q74" s="16">
        <v>448100</v>
      </c>
      <c r="R74" s="16">
        <v>2056006.18</v>
      </c>
      <c r="S74" s="16">
        <v>2056006.18</v>
      </c>
      <c r="T74" s="441">
        <v>287565.87</v>
      </c>
      <c r="U74" s="441"/>
      <c r="V74" s="441">
        <v>0</v>
      </c>
      <c r="W74" s="442"/>
      <c r="X74" s="1"/>
    </row>
    <row r="75" spans="1:24" ht="9" customHeight="1">
      <c r="A75" s="460"/>
      <c r="B75" s="461"/>
      <c r="C75" s="461"/>
      <c r="D75" s="461"/>
      <c r="E75" s="461"/>
      <c r="F75" s="8" t="s">
        <v>22</v>
      </c>
      <c r="G75" s="453">
        <v>-31048.8</v>
      </c>
      <c r="H75" s="453"/>
      <c r="I75" s="17">
        <v>-26048.8</v>
      </c>
      <c r="J75" s="17">
        <v>-10048.8</v>
      </c>
      <c r="K75" s="17">
        <v>0</v>
      </c>
      <c r="L75" s="17">
        <v>-10048.8</v>
      </c>
      <c r="M75" s="17">
        <v>0</v>
      </c>
      <c r="N75" s="17">
        <v>-16000</v>
      </c>
      <c r="O75" s="17">
        <v>0</v>
      </c>
      <c r="P75" s="17">
        <v>0</v>
      </c>
      <c r="Q75" s="17">
        <v>0</v>
      </c>
      <c r="R75" s="17">
        <v>-5000</v>
      </c>
      <c r="S75" s="17">
        <v>-5000</v>
      </c>
      <c r="T75" s="453">
        <v>0</v>
      </c>
      <c r="U75" s="453"/>
      <c r="V75" s="453">
        <v>0</v>
      </c>
      <c r="W75" s="454"/>
      <c r="X75" s="1"/>
    </row>
    <row r="76" spans="1:24" ht="9" customHeight="1">
      <c r="A76" s="460"/>
      <c r="B76" s="461"/>
      <c r="C76" s="461"/>
      <c r="D76" s="461"/>
      <c r="E76" s="461"/>
      <c r="F76" s="8" t="s">
        <v>23</v>
      </c>
      <c r="G76" s="453">
        <v>31048.8</v>
      </c>
      <c r="H76" s="453"/>
      <c r="I76" s="17">
        <v>31048.8</v>
      </c>
      <c r="J76" s="17">
        <v>21048.8</v>
      </c>
      <c r="K76" s="17">
        <v>0</v>
      </c>
      <c r="L76" s="17">
        <v>21048.8</v>
      </c>
      <c r="M76" s="17">
        <v>10000</v>
      </c>
      <c r="N76" s="17">
        <v>0</v>
      </c>
      <c r="O76" s="17">
        <v>0</v>
      </c>
      <c r="P76" s="17">
        <v>0</v>
      </c>
      <c r="Q76" s="17">
        <v>0</v>
      </c>
      <c r="R76" s="17">
        <v>0</v>
      </c>
      <c r="S76" s="17">
        <v>0</v>
      </c>
      <c r="T76" s="453">
        <v>0</v>
      </c>
      <c r="U76" s="453"/>
      <c r="V76" s="453">
        <v>0</v>
      </c>
      <c r="W76" s="454"/>
      <c r="X76" s="1"/>
    </row>
    <row r="77" spans="1:24" ht="9" customHeight="1" thickBot="1">
      <c r="A77" s="462"/>
      <c r="B77" s="463"/>
      <c r="C77" s="463"/>
      <c r="D77" s="463"/>
      <c r="E77" s="463"/>
      <c r="F77" s="9" t="s">
        <v>24</v>
      </c>
      <c r="G77" s="456">
        <v>17363517.2</v>
      </c>
      <c r="H77" s="456"/>
      <c r="I77" s="18">
        <v>15312511.02</v>
      </c>
      <c r="J77" s="18">
        <v>9520620.53</v>
      </c>
      <c r="K77" s="18">
        <v>5731946.1</v>
      </c>
      <c r="L77" s="18">
        <v>3788674.43</v>
      </c>
      <c r="M77" s="18">
        <v>2095631.24</v>
      </c>
      <c r="N77" s="18">
        <v>2924735.77</v>
      </c>
      <c r="O77" s="18">
        <v>323423.48</v>
      </c>
      <c r="P77" s="18">
        <v>0</v>
      </c>
      <c r="Q77" s="18">
        <v>448100</v>
      </c>
      <c r="R77" s="18">
        <v>2051006.18</v>
      </c>
      <c r="S77" s="18">
        <v>2051006.18</v>
      </c>
      <c r="T77" s="456">
        <v>287565.87</v>
      </c>
      <c r="U77" s="456"/>
      <c r="V77" s="456">
        <v>0</v>
      </c>
      <c r="W77" s="457"/>
      <c r="X77" s="1"/>
    </row>
  </sheetData>
  <mergeCells count="280">
    <mergeCell ref="A1:W1"/>
    <mergeCell ref="G77:H77"/>
    <mergeCell ref="T77:U77"/>
    <mergeCell ref="V77:W77"/>
    <mergeCell ref="A74:E77"/>
    <mergeCell ref="G74:H74"/>
    <mergeCell ref="T74:U74"/>
    <mergeCell ref="V74:W74"/>
    <mergeCell ref="G75:H75"/>
    <mergeCell ref="T75:U75"/>
    <mergeCell ref="V75:W75"/>
    <mergeCell ref="G76:H76"/>
    <mergeCell ref="T76:U76"/>
    <mergeCell ref="V76:W76"/>
    <mergeCell ref="T72:U72"/>
    <mergeCell ref="V72:W72"/>
    <mergeCell ref="G73:H73"/>
    <mergeCell ref="T73:U73"/>
    <mergeCell ref="V73:W73"/>
    <mergeCell ref="T70:U70"/>
    <mergeCell ref="V70:W70"/>
    <mergeCell ref="G71:H71"/>
    <mergeCell ref="T71:U71"/>
    <mergeCell ref="V71:W71"/>
    <mergeCell ref="A70:B73"/>
    <mergeCell ref="C70:C73"/>
    <mergeCell ref="D70:E73"/>
    <mergeCell ref="G70:H70"/>
    <mergeCell ref="G72:H72"/>
    <mergeCell ref="T68:U68"/>
    <mergeCell ref="V68:W68"/>
    <mergeCell ref="G69:H69"/>
    <mergeCell ref="T69:U69"/>
    <mergeCell ref="V69:W69"/>
    <mergeCell ref="T66:U66"/>
    <mergeCell ref="V66:W66"/>
    <mergeCell ref="G67:H67"/>
    <mergeCell ref="T67:U67"/>
    <mergeCell ref="V67:W67"/>
    <mergeCell ref="A66:B69"/>
    <mergeCell ref="C66:C69"/>
    <mergeCell ref="D66:E69"/>
    <mergeCell ref="G66:H66"/>
    <mergeCell ref="G68:H68"/>
    <mergeCell ref="G56:H56"/>
    <mergeCell ref="T56:U56"/>
    <mergeCell ref="V56:W56"/>
    <mergeCell ref="G57:H57"/>
    <mergeCell ref="T57:U57"/>
    <mergeCell ref="V57:W57"/>
    <mergeCell ref="V65:W65"/>
    <mergeCell ref="A54:B57"/>
    <mergeCell ref="C54:C57"/>
    <mergeCell ref="D54:E57"/>
    <mergeCell ref="G54:H54"/>
    <mergeCell ref="T54:U54"/>
    <mergeCell ref="V54:W54"/>
    <mergeCell ref="G55:H55"/>
    <mergeCell ref="T55:U55"/>
    <mergeCell ref="V55:W55"/>
    <mergeCell ref="Q62:Q64"/>
    <mergeCell ref="T63:U64"/>
    <mergeCell ref="A65:B65"/>
    <mergeCell ref="D65:F65"/>
    <mergeCell ref="G65:H65"/>
    <mergeCell ref="T65:U65"/>
    <mergeCell ref="M62:M64"/>
    <mergeCell ref="N62:N64"/>
    <mergeCell ref="O62:O64"/>
    <mergeCell ref="P62:P64"/>
    <mergeCell ref="I59:W59"/>
    <mergeCell ref="I60:I64"/>
    <mergeCell ref="J60:Q61"/>
    <mergeCell ref="R60:R64"/>
    <mergeCell ref="S60:W60"/>
    <mergeCell ref="S61:S64"/>
    <mergeCell ref="T61:U62"/>
    <mergeCell ref="V61:W64"/>
    <mergeCell ref="J62:J64"/>
    <mergeCell ref="K62:L63"/>
    <mergeCell ref="A59:B64"/>
    <mergeCell ref="C59:C64"/>
    <mergeCell ref="D59:F64"/>
    <mergeCell ref="G59:H64"/>
    <mergeCell ref="B58:D58"/>
    <mergeCell ref="E58:G58"/>
    <mergeCell ref="H58:W58"/>
    <mergeCell ref="T52:U52"/>
    <mergeCell ref="V52:W52"/>
    <mergeCell ref="G53:H53"/>
    <mergeCell ref="T53:U53"/>
    <mergeCell ref="V53:W53"/>
    <mergeCell ref="A50:B53"/>
    <mergeCell ref="C50:C53"/>
    <mergeCell ref="V50:W50"/>
    <mergeCell ref="G51:H51"/>
    <mergeCell ref="T51:U51"/>
    <mergeCell ref="V51:W51"/>
    <mergeCell ref="D50:E53"/>
    <mergeCell ref="G50:H50"/>
    <mergeCell ref="G52:H52"/>
    <mergeCell ref="T48:U48"/>
    <mergeCell ref="T50:U50"/>
    <mergeCell ref="V48:W48"/>
    <mergeCell ref="G49:H49"/>
    <mergeCell ref="T49:U49"/>
    <mergeCell ref="V49:W49"/>
    <mergeCell ref="T46:U46"/>
    <mergeCell ref="V46:W46"/>
    <mergeCell ref="G47:H47"/>
    <mergeCell ref="T47:U47"/>
    <mergeCell ref="V47:W47"/>
    <mergeCell ref="A46:B49"/>
    <mergeCell ref="C46:C49"/>
    <mergeCell ref="D46:E49"/>
    <mergeCell ref="G46:H46"/>
    <mergeCell ref="G48:H48"/>
    <mergeCell ref="T44:U44"/>
    <mergeCell ref="V44:W44"/>
    <mergeCell ref="G45:H45"/>
    <mergeCell ref="T45:U45"/>
    <mergeCell ref="V45:W45"/>
    <mergeCell ref="T42:U42"/>
    <mergeCell ref="V42:W42"/>
    <mergeCell ref="G43:H43"/>
    <mergeCell ref="T43:U43"/>
    <mergeCell ref="V43:W43"/>
    <mergeCell ref="A42:B45"/>
    <mergeCell ref="C42:C45"/>
    <mergeCell ref="D42:E45"/>
    <mergeCell ref="G42:H42"/>
    <mergeCell ref="G44:H44"/>
    <mergeCell ref="T40:U40"/>
    <mergeCell ref="V40:W40"/>
    <mergeCell ref="G41:H41"/>
    <mergeCell ref="T41:U41"/>
    <mergeCell ref="V41:W41"/>
    <mergeCell ref="T38:U38"/>
    <mergeCell ref="V38:W38"/>
    <mergeCell ref="G39:H39"/>
    <mergeCell ref="T39:U39"/>
    <mergeCell ref="V39:W39"/>
    <mergeCell ref="A38:B41"/>
    <mergeCell ref="C38:C41"/>
    <mergeCell ref="D38:E41"/>
    <mergeCell ref="G38:H38"/>
    <mergeCell ref="G40:H40"/>
    <mergeCell ref="T36:U36"/>
    <mergeCell ref="V36:W36"/>
    <mergeCell ref="G37:H37"/>
    <mergeCell ref="T37:U37"/>
    <mergeCell ref="V37:W37"/>
    <mergeCell ref="T34:U34"/>
    <mergeCell ref="V34:W34"/>
    <mergeCell ref="G35:H35"/>
    <mergeCell ref="T35:U35"/>
    <mergeCell ref="V35:W35"/>
    <mergeCell ref="A34:B37"/>
    <mergeCell ref="C34:C37"/>
    <mergeCell ref="D34:E37"/>
    <mergeCell ref="G34:H34"/>
    <mergeCell ref="G36:H36"/>
    <mergeCell ref="T32:U32"/>
    <mergeCell ref="V32:W32"/>
    <mergeCell ref="G33:H33"/>
    <mergeCell ref="T33:U33"/>
    <mergeCell ref="V33:W33"/>
    <mergeCell ref="T30:U30"/>
    <mergeCell ref="V30:W30"/>
    <mergeCell ref="G31:H31"/>
    <mergeCell ref="T31:U31"/>
    <mergeCell ref="V31:W31"/>
    <mergeCell ref="A30:B33"/>
    <mergeCell ref="C30:C33"/>
    <mergeCell ref="D30:E33"/>
    <mergeCell ref="G30:H30"/>
    <mergeCell ref="G32:H32"/>
    <mergeCell ref="T28:U28"/>
    <mergeCell ref="V28:W28"/>
    <mergeCell ref="G29:H29"/>
    <mergeCell ref="T29:U29"/>
    <mergeCell ref="V29:W29"/>
    <mergeCell ref="T26:U26"/>
    <mergeCell ref="V26:W26"/>
    <mergeCell ref="G27:H27"/>
    <mergeCell ref="T27:U27"/>
    <mergeCell ref="V27:W27"/>
    <mergeCell ref="A26:B29"/>
    <mergeCell ref="C26:C29"/>
    <mergeCell ref="D26:E29"/>
    <mergeCell ref="G26:H26"/>
    <mergeCell ref="G28:H28"/>
    <mergeCell ref="T24:U24"/>
    <mergeCell ref="V24:W24"/>
    <mergeCell ref="G25:H25"/>
    <mergeCell ref="T25:U25"/>
    <mergeCell ref="V25:W25"/>
    <mergeCell ref="T22:U22"/>
    <mergeCell ref="V22:W22"/>
    <mergeCell ref="G23:H23"/>
    <mergeCell ref="T23:U23"/>
    <mergeCell ref="V23:W23"/>
    <mergeCell ref="A22:B25"/>
    <mergeCell ref="C22:C25"/>
    <mergeCell ref="D22:E25"/>
    <mergeCell ref="G22:H22"/>
    <mergeCell ref="G24:H24"/>
    <mergeCell ref="T20:U20"/>
    <mergeCell ref="V20:W20"/>
    <mergeCell ref="G21:H21"/>
    <mergeCell ref="T21:U21"/>
    <mergeCell ref="V21:W21"/>
    <mergeCell ref="T18:U18"/>
    <mergeCell ref="V18:W18"/>
    <mergeCell ref="G19:H19"/>
    <mergeCell ref="T19:U19"/>
    <mergeCell ref="V19:W19"/>
    <mergeCell ref="A18:B21"/>
    <mergeCell ref="C18:C21"/>
    <mergeCell ref="D18:E21"/>
    <mergeCell ref="G18:H18"/>
    <mergeCell ref="G20:H20"/>
    <mergeCell ref="T16:U16"/>
    <mergeCell ref="V16:W16"/>
    <mergeCell ref="G17:H17"/>
    <mergeCell ref="T17:U17"/>
    <mergeCell ref="V17:W17"/>
    <mergeCell ref="T14:U14"/>
    <mergeCell ref="V14:W14"/>
    <mergeCell ref="G15:H15"/>
    <mergeCell ref="T15:U15"/>
    <mergeCell ref="V15:W15"/>
    <mergeCell ref="A14:B17"/>
    <mergeCell ref="C14:C17"/>
    <mergeCell ref="D14:E17"/>
    <mergeCell ref="G14:H14"/>
    <mergeCell ref="G16:H16"/>
    <mergeCell ref="T12:U12"/>
    <mergeCell ref="V12:W12"/>
    <mergeCell ref="G13:H13"/>
    <mergeCell ref="T13:U13"/>
    <mergeCell ref="V13:W13"/>
    <mergeCell ref="T10:U10"/>
    <mergeCell ref="V10:W10"/>
    <mergeCell ref="G11:H11"/>
    <mergeCell ref="T11:U11"/>
    <mergeCell ref="V11:W11"/>
    <mergeCell ref="A10:B13"/>
    <mergeCell ref="C10:C13"/>
    <mergeCell ref="D10:E13"/>
    <mergeCell ref="G10:H10"/>
    <mergeCell ref="G12:H12"/>
    <mergeCell ref="P6:P8"/>
    <mergeCell ref="R4:R8"/>
    <mergeCell ref="S4:W4"/>
    <mergeCell ref="A9:B9"/>
    <mergeCell ref="D9:F9"/>
    <mergeCell ref="G9:H9"/>
    <mergeCell ref="T9:U9"/>
    <mergeCell ref="V9:W9"/>
    <mergeCell ref="B2:D2"/>
    <mergeCell ref="E2:G2"/>
    <mergeCell ref="H2:W2"/>
    <mergeCell ref="A3:B8"/>
    <mergeCell ref="C3:C8"/>
    <mergeCell ref="D3:F8"/>
    <mergeCell ref="G3:H8"/>
    <mergeCell ref="J6:J8"/>
    <mergeCell ref="K6:L7"/>
    <mergeCell ref="Q6:Q8"/>
    <mergeCell ref="I3:W3"/>
    <mergeCell ref="I4:I8"/>
    <mergeCell ref="J4:Q5"/>
    <mergeCell ref="S5:S8"/>
    <mergeCell ref="T5:U6"/>
    <mergeCell ref="V5:W8"/>
    <mergeCell ref="T7:U8"/>
    <mergeCell ref="M6:M8"/>
    <mergeCell ref="N6:N8"/>
    <mergeCell ref="O6:O8"/>
  </mergeCells>
  <printOptions/>
  <pageMargins left="0" right="0" top="0.8" bottom="0.33" header="0.18" footer="0.16"/>
  <pageSetup horizontalDpi="600" verticalDpi="600" orientation="landscape" paperSize="9" r:id="rId1"/>
  <headerFooter alignWithMargins="0">
    <oddHeader>&amp;R&amp;"Arial,Pogrubiony"&amp;7Załącznik Nr 2&amp;"Arial,Normalny"
do Uchwały Nr XXVIII/177/2012
 Rady Gminy Miłkowice
z dnia 28 grudnia 2012r.</oddHeader>
    <oddFooter>&amp;C&amp;6Strona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108"/>
  <sheetViews>
    <sheetView zoomScale="75" zoomScaleNormal="75" workbookViewId="0" topLeftCell="A32">
      <selection activeCell="A40" sqref="A39:J40"/>
    </sheetView>
  </sheetViews>
  <sheetFormatPr defaultColWidth="7.33203125" defaultRowHeight="18.75" customHeight="1"/>
  <cols>
    <col min="1" max="1" width="5.5" style="177" customWidth="1"/>
    <col min="2" max="2" width="132.33203125" style="177" customWidth="1"/>
    <col min="3" max="3" width="17" style="177" customWidth="1"/>
    <col min="4" max="4" width="15.66015625" style="177" customWidth="1"/>
    <col min="5" max="5" width="16.33203125" style="177" customWidth="1"/>
    <col min="6" max="6" width="15.16015625" style="177" customWidth="1"/>
    <col min="7" max="7" width="13.66015625" style="177" customWidth="1"/>
    <col min="8" max="8" width="0" style="177" hidden="1" customWidth="1"/>
    <col min="9" max="9" width="19.83203125" style="177" customWidth="1"/>
    <col min="10" max="10" width="23" style="179" customWidth="1"/>
    <col min="11" max="11" width="4.5" style="177" customWidth="1"/>
    <col min="12" max="16384" width="7.33203125" style="177" customWidth="1"/>
  </cols>
  <sheetData>
    <row r="1" spans="1:11" s="20" customFormat="1" ht="21" customHeight="1">
      <c r="A1" s="540" t="s">
        <v>40</v>
      </c>
      <c r="B1" s="540"/>
      <c r="C1" s="540"/>
      <c r="D1" s="540"/>
      <c r="E1" s="540"/>
      <c r="F1" s="540"/>
      <c r="G1" s="540"/>
      <c r="H1" s="540"/>
      <c r="I1" s="540"/>
      <c r="J1" s="540"/>
      <c r="K1" s="19"/>
    </row>
    <row r="2" spans="2:11" s="21" customFormat="1" ht="6.75" customHeight="1">
      <c r="B2" s="22"/>
      <c r="J2" s="23"/>
      <c r="K2" s="24"/>
    </row>
    <row r="3" spans="1:11" s="27" customFormat="1" ht="14.25" customHeight="1">
      <c r="A3" s="504" t="s">
        <v>41</v>
      </c>
      <c r="B3" s="444" t="s">
        <v>42</v>
      </c>
      <c r="C3" s="444" t="s">
        <v>43</v>
      </c>
      <c r="D3" s="445" t="s">
        <v>44</v>
      </c>
      <c r="E3" s="445"/>
      <c r="F3" s="445"/>
      <c r="G3" s="445"/>
      <c r="H3" s="25"/>
      <c r="I3" s="25"/>
      <c r="J3" s="446" t="s">
        <v>45</v>
      </c>
      <c r="K3" s="26"/>
    </row>
    <row r="4" spans="1:11" s="27" customFormat="1" ht="14.25" customHeight="1">
      <c r="A4" s="504"/>
      <c r="B4" s="444"/>
      <c r="C4" s="444"/>
      <c r="D4" s="447" t="s">
        <v>46</v>
      </c>
      <c r="E4" s="448" t="s">
        <v>47</v>
      </c>
      <c r="F4" s="448"/>
      <c r="G4" s="448"/>
      <c r="H4" s="28"/>
      <c r="I4" s="28"/>
      <c r="J4" s="446"/>
      <c r="K4" s="26"/>
    </row>
    <row r="5" spans="1:11" s="27" customFormat="1" ht="14.25" customHeight="1">
      <c r="A5" s="504"/>
      <c r="B5" s="444"/>
      <c r="C5" s="444"/>
      <c r="D5" s="447"/>
      <c r="E5" s="449" t="s">
        <v>48</v>
      </c>
      <c r="F5" s="449" t="s">
        <v>49</v>
      </c>
      <c r="G5" s="503" t="s">
        <v>50</v>
      </c>
      <c r="H5" s="29" t="s">
        <v>51</v>
      </c>
      <c r="I5" s="443" t="s">
        <v>52</v>
      </c>
      <c r="J5" s="446"/>
      <c r="K5" s="26"/>
    </row>
    <row r="6" spans="1:11" s="27" customFormat="1" ht="14.25" customHeight="1">
      <c r="A6" s="504"/>
      <c r="B6" s="444"/>
      <c r="C6" s="444"/>
      <c r="D6" s="447"/>
      <c r="E6" s="449"/>
      <c r="F6" s="449"/>
      <c r="G6" s="503"/>
      <c r="H6" s="30"/>
      <c r="I6" s="443"/>
      <c r="J6" s="446"/>
      <c r="K6" s="26"/>
    </row>
    <row r="7" spans="1:11" s="27" customFormat="1" ht="15" customHeight="1">
      <c r="A7" s="504"/>
      <c r="B7" s="444"/>
      <c r="C7" s="444"/>
      <c r="D7" s="447"/>
      <c r="E7" s="449"/>
      <c r="F7" s="449"/>
      <c r="G7" s="503"/>
      <c r="H7" s="30"/>
      <c r="I7" s="443"/>
      <c r="J7" s="446"/>
      <c r="K7" s="26"/>
    </row>
    <row r="8" spans="1:11" s="36" customFormat="1" ht="10.5" customHeight="1">
      <c r="A8" s="31">
        <v>1</v>
      </c>
      <c r="B8" s="32">
        <v>2</v>
      </c>
      <c r="C8" s="32">
        <v>3</v>
      </c>
      <c r="D8" s="32">
        <v>4</v>
      </c>
      <c r="E8" s="33">
        <v>5</v>
      </c>
      <c r="F8" s="33">
        <v>6</v>
      </c>
      <c r="G8" s="33">
        <v>7</v>
      </c>
      <c r="H8" s="33">
        <v>10</v>
      </c>
      <c r="I8" s="33">
        <v>8</v>
      </c>
      <c r="J8" s="34">
        <v>9</v>
      </c>
      <c r="K8" s="35"/>
    </row>
    <row r="9" spans="1:11" s="27" customFormat="1" ht="18" customHeight="1" thickBot="1">
      <c r="A9" s="511" t="s">
        <v>53</v>
      </c>
      <c r="B9" s="512"/>
      <c r="C9" s="37">
        <f>C10+C24</f>
        <v>942475</v>
      </c>
      <c r="D9" s="37">
        <f>D10+D24</f>
        <v>0</v>
      </c>
      <c r="E9" s="37">
        <f>E10+E24</f>
        <v>751075</v>
      </c>
      <c r="F9" s="37">
        <f>F10+F24</f>
        <v>40000</v>
      </c>
      <c r="G9" s="37">
        <f>G10+G24</f>
        <v>151400</v>
      </c>
      <c r="H9" s="37" t="e">
        <f>H10+#REF!</f>
        <v>#REF!</v>
      </c>
      <c r="I9" s="38"/>
      <c r="J9" s="39"/>
      <c r="K9" s="26"/>
    </row>
    <row r="10" spans="1:11" s="27" customFormat="1" ht="21.75" customHeight="1" thickBot="1">
      <c r="A10" s="526" t="s">
        <v>54</v>
      </c>
      <c r="B10" s="526"/>
      <c r="C10" s="40">
        <f>SUM(C11:C23)</f>
        <v>616317</v>
      </c>
      <c r="D10" s="40">
        <f>SUM(D11:D23)</f>
        <v>0</v>
      </c>
      <c r="E10" s="40">
        <f>SUM(E11:E23)</f>
        <v>552917</v>
      </c>
      <c r="F10" s="40">
        <f>SUM(F11:F23)</f>
        <v>40000</v>
      </c>
      <c r="G10" s="40">
        <f>SUM(G11:G23)</f>
        <v>23400</v>
      </c>
      <c r="H10" s="40">
        <f>SUM(H11:H22)</f>
        <v>0</v>
      </c>
      <c r="I10" s="41"/>
      <c r="J10" s="42"/>
      <c r="K10" s="26"/>
    </row>
    <row r="11" spans="1:11" s="27" customFormat="1" ht="43.5" customHeight="1" thickTop="1">
      <c r="A11" s="43">
        <v>1</v>
      </c>
      <c r="B11" s="44" t="s">
        <v>151</v>
      </c>
      <c r="C11" s="45">
        <f aca="true" t="shared" si="0" ref="C11:C16">SUM(D11,E11,F11,G11,I11)</f>
        <v>640</v>
      </c>
      <c r="D11" s="46"/>
      <c r="E11" s="47">
        <v>640</v>
      </c>
      <c r="F11" s="46"/>
      <c r="G11" s="46"/>
      <c r="H11" s="46"/>
      <c r="I11" s="48"/>
      <c r="J11" s="505" t="s">
        <v>55</v>
      </c>
      <c r="K11" s="26"/>
    </row>
    <row r="12" spans="1:11" s="27" customFormat="1" ht="20.25" customHeight="1">
      <c r="A12" s="43">
        <v>2</v>
      </c>
      <c r="B12" s="44" t="s">
        <v>56</v>
      </c>
      <c r="C12" s="45">
        <f t="shared" si="0"/>
        <v>80000</v>
      </c>
      <c r="D12" s="46"/>
      <c r="E12" s="47">
        <v>80000</v>
      </c>
      <c r="F12" s="46"/>
      <c r="G12" s="46"/>
      <c r="H12" s="46"/>
      <c r="I12" s="48"/>
      <c r="J12" s="508"/>
      <c r="K12" s="26"/>
    </row>
    <row r="13" spans="1:11" s="27" customFormat="1" ht="18" customHeight="1">
      <c r="A13" s="43">
        <v>3</v>
      </c>
      <c r="B13" s="181" t="s">
        <v>57</v>
      </c>
      <c r="C13" s="45">
        <f t="shared" si="0"/>
        <v>23000</v>
      </c>
      <c r="D13" s="46"/>
      <c r="E13" s="47">
        <v>23000</v>
      </c>
      <c r="F13" s="46"/>
      <c r="G13" s="46"/>
      <c r="H13" s="46"/>
      <c r="I13" s="48"/>
      <c r="J13" s="508"/>
      <c r="K13" s="26"/>
    </row>
    <row r="14" spans="1:11" s="27" customFormat="1" ht="19.5" customHeight="1">
      <c r="A14" s="43">
        <v>4</v>
      </c>
      <c r="B14" s="50" t="s">
        <v>58</v>
      </c>
      <c r="C14" s="45">
        <f t="shared" si="0"/>
        <v>107500</v>
      </c>
      <c r="D14" s="45"/>
      <c r="E14" s="45">
        <f>100710+6290+500</f>
        <v>107500</v>
      </c>
      <c r="F14" s="45"/>
      <c r="G14" s="45"/>
      <c r="H14" s="45"/>
      <c r="I14" s="51" t="s">
        <v>59</v>
      </c>
      <c r="J14" s="508"/>
      <c r="K14" s="26"/>
    </row>
    <row r="15" spans="1:11" s="27" customFormat="1" ht="19.5" customHeight="1">
      <c r="A15" s="43">
        <v>5</v>
      </c>
      <c r="B15" s="50" t="s">
        <v>60</v>
      </c>
      <c r="C15" s="45">
        <f t="shared" si="0"/>
        <v>5000</v>
      </c>
      <c r="D15" s="45"/>
      <c r="E15" s="45">
        <f>45000-40000</f>
        <v>5000</v>
      </c>
      <c r="F15" s="45"/>
      <c r="G15" s="45"/>
      <c r="H15" s="45"/>
      <c r="I15" s="52"/>
      <c r="J15" s="508"/>
      <c r="K15" s="26"/>
    </row>
    <row r="16" spans="1:11" s="27" customFormat="1" ht="18" customHeight="1">
      <c r="A16" s="43">
        <v>6</v>
      </c>
      <c r="B16" s="180" t="s">
        <v>61</v>
      </c>
      <c r="C16" s="45">
        <f t="shared" si="0"/>
        <v>155177</v>
      </c>
      <c r="D16" s="45"/>
      <c r="E16" s="45">
        <f>55177-F16+100000-G16</f>
        <v>91777</v>
      </c>
      <c r="F16" s="45">
        <v>40000</v>
      </c>
      <c r="G16" s="45">
        <v>23400</v>
      </c>
      <c r="H16" s="45"/>
      <c r="I16" s="48" t="s">
        <v>62</v>
      </c>
      <c r="J16" s="527"/>
      <c r="K16" s="26"/>
    </row>
    <row r="17" spans="1:11" s="27" customFormat="1" ht="21" customHeight="1">
      <c r="A17" s="43">
        <v>7</v>
      </c>
      <c r="B17" s="54" t="s">
        <v>63</v>
      </c>
      <c r="C17" s="45">
        <f>E17</f>
        <v>62000</v>
      </c>
      <c r="D17" s="45"/>
      <c r="E17" s="45">
        <f>87000-25000</f>
        <v>62000</v>
      </c>
      <c r="F17" s="45"/>
      <c r="G17" s="45"/>
      <c r="H17" s="45"/>
      <c r="I17" s="531" t="s">
        <v>64</v>
      </c>
      <c r="J17" s="528" t="s">
        <v>65</v>
      </c>
      <c r="K17" s="26"/>
    </row>
    <row r="18" spans="1:11" s="27" customFormat="1" ht="21" customHeight="1">
      <c r="A18" s="43">
        <v>8</v>
      </c>
      <c r="B18" s="54" t="s">
        <v>66</v>
      </c>
      <c r="C18" s="45">
        <f>E18</f>
        <v>50000</v>
      </c>
      <c r="D18" s="45"/>
      <c r="E18" s="45">
        <f>71000-21000</f>
        <v>50000</v>
      </c>
      <c r="F18" s="45"/>
      <c r="G18" s="45"/>
      <c r="H18" s="45"/>
      <c r="I18" s="518"/>
      <c r="J18" s="529"/>
      <c r="K18" s="26"/>
    </row>
    <row r="19" spans="1:11" s="27" customFormat="1" ht="19.5" customHeight="1">
      <c r="A19" s="43">
        <v>9</v>
      </c>
      <c r="B19" s="54" t="s">
        <v>67</v>
      </c>
      <c r="C19" s="45">
        <v>15000</v>
      </c>
      <c r="D19" s="45"/>
      <c r="E19" s="45">
        <v>15000</v>
      </c>
      <c r="F19" s="45"/>
      <c r="G19" s="45"/>
      <c r="H19" s="45"/>
      <c r="I19" s="518"/>
      <c r="J19" s="529"/>
      <c r="K19" s="26"/>
    </row>
    <row r="20" spans="1:11" s="27" customFormat="1" ht="22.5" customHeight="1">
      <c r="A20" s="43">
        <v>10</v>
      </c>
      <c r="B20" s="50" t="s">
        <v>152</v>
      </c>
      <c r="C20" s="45">
        <f>SUM(D20,E20,F20,G20,I20)</f>
        <v>10000</v>
      </c>
      <c r="D20" s="45"/>
      <c r="E20" s="45">
        <f>30000-20000</f>
        <v>10000</v>
      </c>
      <c r="F20" s="45"/>
      <c r="G20" s="45"/>
      <c r="H20" s="45"/>
      <c r="I20" s="518"/>
      <c r="J20" s="529"/>
      <c r="K20" s="26"/>
    </row>
    <row r="21" spans="1:11" s="27" customFormat="1" ht="19.5" customHeight="1">
      <c r="A21" s="43">
        <v>11</v>
      </c>
      <c r="B21" s="50" t="s">
        <v>149</v>
      </c>
      <c r="C21" s="45">
        <f>SUM(D21,E21,F21,G21,I21)</f>
        <v>28000</v>
      </c>
      <c r="D21" s="45"/>
      <c r="E21" s="45">
        <f>35000-7000</f>
        <v>28000</v>
      </c>
      <c r="F21" s="45"/>
      <c r="G21" s="45"/>
      <c r="H21" s="45"/>
      <c r="I21" s="518"/>
      <c r="J21" s="529"/>
      <c r="K21" s="26"/>
    </row>
    <row r="22" spans="1:11" s="27" customFormat="1" ht="21.75" customHeight="1">
      <c r="A22" s="43">
        <v>12</v>
      </c>
      <c r="B22" s="50" t="s">
        <v>153</v>
      </c>
      <c r="C22" s="45">
        <f>SUM(D22,E22,F22,G22,I22)</f>
        <v>32000</v>
      </c>
      <c r="D22" s="45"/>
      <c r="E22" s="45">
        <v>32000</v>
      </c>
      <c r="F22" s="45"/>
      <c r="G22" s="45"/>
      <c r="H22" s="45"/>
      <c r="I22" s="532"/>
      <c r="J22" s="530"/>
      <c r="K22" s="26"/>
    </row>
    <row r="23" spans="1:11" s="27" customFormat="1" ht="21" customHeight="1">
      <c r="A23" s="43">
        <v>13</v>
      </c>
      <c r="B23" s="55" t="s">
        <v>68</v>
      </c>
      <c r="C23" s="56">
        <f>E23</f>
        <v>48000</v>
      </c>
      <c r="D23" s="56"/>
      <c r="E23" s="57">
        <f>33465+2535+12000</f>
        <v>48000</v>
      </c>
      <c r="F23" s="56"/>
      <c r="G23" s="56"/>
      <c r="H23" s="57"/>
      <c r="I23" s="56"/>
      <c r="J23" s="533" t="s">
        <v>55</v>
      </c>
      <c r="K23" s="26"/>
    </row>
    <row r="24" spans="1:11" s="27" customFormat="1" ht="21.75" customHeight="1" thickBot="1">
      <c r="A24" s="526" t="s">
        <v>69</v>
      </c>
      <c r="B24" s="526"/>
      <c r="C24" s="40">
        <f>C26+C25</f>
        <v>326158</v>
      </c>
      <c r="D24" s="40">
        <f>D26+D25</f>
        <v>0</v>
      </c>
      <c r="E24" s="40">
        <f>E26+E25</f>
        <v>198158</v>
      </c>
      <c r="F24" s="40">
        <f>F26+F25</f>
        <v>0</v>
      </c>
      <c r="G24" s="40">
        <f>G26+G25</f>
        <v>128000</v>
      </c>
      <c r="H24" s="40">
        <f>H26</f>
        <v>0</v>
      </c>
      <c r="I24" s="41"/>
      <c r="J24" s="534"/>
      <c r="K24" s="26"/>
    </row>
    <row r="25" spans="1:11" s="64" customFormat="1" ht="21.75" customHeight="1" thickTop="1">
      <c r="A25" s="59">
        <v>1</v>
      </c>
      <c r="B25" s="60" t="s">
        <v>70</v>
      </c>
      <c r="C25" s="61">
        <f>SUM(D25,E25,F25,G25)</f>
        <v>117558</v>
      </c>
      <c r="D25" s="62"/>
      <c r="E25" s="61">
        <f>117558-G25</f>
        <v>77558</v>
      </c>
      <c r="F25" s="61"/>
      <c r="G25" s="61">
        <v>40000</v>
      </c>
      <c r="H25" s="61"/>
      <c r="I25" s="535" t="s">
        <v>71</v>
      </c>
      <c r="J25" s="505" t="s">
        <v>55</v>
      </c>
      <c r="K25" s="63"/>
    </row>
    <row r="26" spans="1:11" s="64" customFormat="1" ht="21.75" customHeight="1" thickBot="1">
      <c r="A26" s="65">
        <v>2</v>
      </c>
      <c r="B26" s="66" t="s">
        <v>72</v>
      </c>
      <c r="C26" s="67">
        <f>SUM(D26,E26,F26,G26)</f>
        <v>208600</v>
      </c>
      <c r="D26" s="68"/>
      <c r="E26" s="69">
        <f>208600-G26</f>
        <v>120600</v>
      </c>
      <c r="F26" s="69"/>
      <c r="G26" s="69">
        <v>88000</v>
      </c>
      <c r="H26" s="69"/>
      <c r="I26" s="536"/>
      <c r="J26" s="506"/>
      <c r="K26" s="63"/>
    </row>
    <row r="27" spans="1:11" s="27" customFormat="1" ht="25.5" customHeight="1" thickBot="1">
      <c r="A27" s="511" t="s">
        <v>73</v>
      </c>
      <c r="B27" s="512"/>
      <c r="C27" s="37">
        <f aca="true" t="shared" si="1" ref="C27:H27">C28</f>
        <v>35000</v>
      </c>
      <c r="D27" s="37">
        <f t="shared" si="1"/>
        <v>0</v>
      </c>
      <c r="E27" s="37">
        <f t="shared" si="1"/>
        <v>35000</v>
      </c>
      <c r="F27" s="37">
        <f t="shared" si="1"/>
        <v>0</v>
      </c>
      <c r="G27" s="37">
        <f t="shared" si="1"/>
        <v>0</v>
      </c>
      <c r="H27" s="37">
        <f t="shared" si="1"/>
        <v>0</v>
      </c>
      <c r="I27" s="38"/>
      <c r="J27" s="39"/>
      <c r="K27" s="26"/>
    </row>
    <row r="28" spans="1:11" s="27" customFormat="1" ht="21.75" customHeight="1" thickBot="1">
      <c r="A28" s="526" t="s">
        <v>74</v>
      </c>
      <c r="B28" s="526"/>
      <c r="C28" s="40">
        <f>C29</f>
        <v>35000</v>
      </c>
      <c r="D28" s="40">
        <f>SUM(D29:D37)</f>
        <v>0</v>
      </c>
      <c r="E28" s="40">
        <f>E29</f>
        <v>35000</v>
      </c>
      <c r="F28" s="40">
        <f>F29</f>
        <v>0</v>
      </c>
      <c r="G28" s="40">
        <f>G29</f>
        <v>0</v>
      </c>
      <c r="H28" s="40">
        <f>H29</f>
        <v>0</v>
      </c>
      <c r="I28" s="41"/>
      <c r="J28" s="42"/>
      <c r="K28" s="26"/>
    </row>
    <row r="29" spans="1:11" s="27" customFormat="1" ht="22.5" customHeight="1" thickBot="1" thickTop="1">
      <c r="A29" s="43">
        <v>1</v>
      </c>
      <c r="B29" s="44" t="s">
        <v>75</v>
      </c>
      <c r="C29" s="45">
        <f>SUM(D29,E29,F29,G29,I29)</f>
        <v>35000</v>
      </c>
      <c r="D29" s="46"/>
      <c r="E29" s="47">
        <v>35000</v>
      </c>
      <c r="F29" s="46"/>
      <c r="G29" s="46"/>
      <c r="H29" s="46"/>
      <c r="I29" s="71"/>
      <c r="J29" s="58" t="s">
        <v>55</v>
      </c>
      <c r="K29" s="26"/>
    </row>
    <row r="30" spans="1:11" s="27" customFormat="1" ht="18" customHeight="1" thickBot="1">
      <c r="A30" s="537" t="s">
        <v>76</v>
      </c>
      <c r="B30" s="537"/>
      <c r="C30" s="72">
        <f>C36+C31</f>
        <v>235681</v>
      </c>
      <c r="D30" s="72">
        <f>D36+D31</f>
        <v>0</v>
      </c>
      <c r="E30" s="72">
        <f>E36+E31</f>
        <v>210681</v>
      </c>
      <c r="F30" s="72">
        <f>F36+F31</f>
        <v>0</v>
      </c>
      <c r="G30" s="72">
        <f>G36+G31</f>
        <v>25000</v>
      </c>
      <c r="H30" s="72" t="e">
        <f>H36+#REF!</f>
        <v>#REF!</v>
      </c>
      <c r="I30" s="73"/>
      <c r="J30" s="74"/>
      <c r="K30" s="26"/>
    </row>
    <row r="31" spans="1:11" s="27" customFormat="1" ht="21.75" customHeight="1" thickBot="1">
      <c r="A31" s="526" t="s">
        <v>77</v>
      </c>
      <c r="B31" s="526"/>
      <c r="C31" s="40">
        <f>SUM(C32:C35)</f>
        <v>205000</v>
      </c>
      <c r="D31" s="40">
        <f>SUM(D32:D35)</f>
        <v>0</v>
      </c>
      <c r="E31" s="40">
        <f>SUM(E32:E35)</f>
        <v>180000</v>
      </c>
      <c r="F31" s="40">
        <f>F32</f>
        <v>0</v>
      </c>
      <c r="G31" s="40">
        <f>G32</f>
        <v>25000</v>
      </c>
      <c r="H31" s="40">
        <f>SUM(H37:H37)</f>
        <v>0</v>
      </c>
      <c r="I31" s="41"/>
      <c r="J31" s="42"/>
      <c r="K31" s="26"/>
    </row>
    <row r="32" spans="1:11" s="64" customFormat="1" ht="30.75" customHeight="1" thickTop="1">
      <c r="A32" s="75">
        <v>1</v>
      </c>
      <c r="B32" s="76" t="s">
        <v>78</v>
      </c>
      <c r="C32" s="77">
        <f>D32+E32+F32+G32</f>
        <v>87000</v>
      </c>
      <c r="D32" s="78"/>
      <c r="E32" s="79">
        <f>25000+17000+20000</f>
        <v>62000</v>
      </c>
      <c r="F32" s="79"/>
      <c r="G32" s="79">
        <v>25000</v>
      </c>
      <c r="H32" s="79"/>
      <c r="I32" s="80" t="s">
        <v>79</v>
      </c>
      <c r="J32" s="505" t="s">
        <v>55</v>
      </c>
      <c r="K32" s="63"/>
    </row>
    <row r="33" spans="1:11" s="64" customFormat="1" ht="22.5" customHeight="1">
      <c r="A33" s="75">
        <v>2</v>
      </c>
      <c r="B33" s="76" t="s">
        <v>80</v>
      </c>
      <c r="C33" s="77">
        <f>D33+E33+F33+G33+I33</f>
        <v>13000</v>
      </c>
      <c r="D33" s="78"/>
      <c r="E33" s="79">
        <f>20000-7000</f>
        <v>13000</v>
      </c>
      <c r="F33" s="79"/>
      <c r="G33" s="79"/>
      <c r="H33" s="79"/>
      <c r="I33" s="71"/>
      <c r="J33" s="508"/>
      <c r="K33" s="63"/>
    </row>
    <row r="34" spans="1:11" s="64" customFormat="1" ht="22.5" customHeight="1">
      <c r="A34" s="75">
        <v>3</v>
      </c>
      <c r="B34" s="76" t="s">
        <v>81</v>
      </c>
      <c r="C34" s="77">
        <f>D34+E34+F34+G34+I34</f>
        <v>5000</v>
      </c>
      <c r="D34" s="78"/>
      <c r="E34" s="79">
        <f>20000-15000</f>
        <v>5000</v>
      </c>
      <c r="F34" s="79"/>
      <c r="G34" s="79"/>
      <c r="H34" s="79"/>
      <c r="I34" s="81"/>
      <c r="J34" s="506"/>
      <c r="K34" s="63"/>
    </row>
    <row r="35" spans="1:11" s="64" customFormat="1" ht="25.5" customHeight="1">
      <c r="A35" s="75">
        <v>4</v>
      </c>
      <c r="B35" s="76" t="s">
        <v>82</v>
      </c>
      <c r="C35" s="77">
        <f>D35+E35+F35+G35+I35</f>
        <v>100000</v>
      </c>
      <c r="D35" s="78"/>
      <c r="E35" s="79">
        <v>100000</v>
      </c>
      <c r="F35" s="79"/>
      <c r="G35" s="79"/>
      <c r="H35" s="79"/>
      <c r="I35" s="81"/>
      <c r="J35" s="53" t="s">
        <v>83</v>
      </c>
      <c r="K35" s="63"/>
    </row>
    <row r="36" spans="1:11" s="27" customFormat="1" ht="21.75" customHeight="1" thickBot="1">
      <c r="A36" s="526" t="s">
        <v>84</v>
      </c>
      <c r="B36" s="526"/>
      <c r="C36" s="40">
        <f>SUM(C37:C40)</f>
        <v>30681</v>
      </c>
      <c r="D36" s="40">
        <f>SUM(D37:D40)</f>
        <v>0</v>
      </c>
      <c r="E36" s="40">
        <f>SUM(E37:E40)</f>
        <v>30681</v>
      </c>
      <c r="F36" s="40">
        <f>SUM(F37:F40)</f>
        <v>0</v>
      </c>
      <c r="G36" s="40">
        <f>SUM(G37:G40)</f>
        <v>0</v>
      </c>
      <c r="H36" s="40">
        <f>SUM(H40:H40)</f>
        <v>0</v>
      </c>
      <c r="I36" s="41"/>
      <c r="J36" s="42"/>
      <c r="K36" s="26"/>
    </row>
    <row r="37" spans="1:11" s="64" customFormat="1" ht="21.75" customHeight="1" thickTop="1">
      <c r="A37" s="86">
        <v>1</v>
      </c>
      <c r="B37" s="66" t="s">
        <v>85</v>
      </c>
      <c r="C37" s="69">
        <f>SUM(D37,E37,F37,G37,J7)</f>
        <v>6157</v>
      </c>
      <c r="D37" s="68"/>
      <c r="E37" s="69">
        <v>6157</v>
      </c>
      <c r="F37" s="69"/>
      <c r="G37" s="69"/>
      <c r="H37" s="69"/>
      <c r="I37" s="87"/>
      <c r="J37" s="505" t="s">
        <v>55</v>
      </c>
      <c r="K37" s="63"/>
    </row>
    <row r="38" spans="1:11" s="64" customFormat="1" ht="21.75" customHeight="1">
      <c r="A38" s="86">
        <v>2</v>
      </c>
      <c r="B38" s="66" t="s">
        <v>86</v>
      </c>
      <c r="C38" s="69">
        <f>E38</f>
        <v>7497</v>
      </c>
      <c r="D38" s="68"/>
      <c r="E38" s="69">
        <v>7497</v>
      </c>
      <c r="F38" s="69"/>
      <c r="G38" s="69"/>
      <c r="H38" s="69"/>
      <c r="I38" s="87"/>
      <c r="J38" s="506"/>
      <c r="K38" s="63"/>
    </row>
    <row r="39" spans="1:11" s="64" customFormat="1" ht="21.75" customHeight="1">
      <c r="A39" s="86">
        <v>3</v>
      </c>
      <c r="B39" s="479" t="s">
        <v>87</v>
      </c>
      <c r="C39" s="480">
        <f>E39</f>
        <v>6027</v>
      </c>
      <c r="D39" s="481"/>
      <c r="E39" s="480">
        <v>6027</v>
      </c>
      <c r="F39" s="480"/>
      <c r="G39" s="480"/>
      <c r="H39" s="480"/>
      <c r="I39" s="482"/>
      <c r="J39" s="507" t="s">
        <v>55</v>
      </c>
      <c r="K39" s="63"/>
    </row>
    <row r="40" spans="1:11" s="64" customFormat="1" ht="21.75" customHeight="1">
      <c r="A40" s="86">
        <v>4</v>
      </c>
      <c r="B40" s="479" t="s">
        <v>88</v>
      </c>
      <c r="C40" s="480">
        <f>E40</f>
        <v>11000</v>
      </c>
      <c r="D40" s="481"/>
      <c r="E40" s="480">
        <f>15000-4000</f>
        <v>11000</v>
      </c>
      <c r="F40" s="480"/>
      <c r="G40" s="480"/>
      <c r="H40" s="480"/>
      <c r="I40" s="480"/>
      <c r="J40" s="506"/>
      <c r="K40" s="63"/>
    </row>
    <row r="41" spans="2:11" s="21" customFormat="1" ht="15" customHeight="1" thickBot="1">
      <c r="B41" s="22"/>
      <c r="J41" s="23"/>
      <c r="K41" s="24"/>
    </row>
    <row r="42" spans="1:11" s="27" customFormat="1" ht="14.25" customHeight="1" thickBot="1">
      <c r="A42" s="504" t="s">
        <v>41</v>
      </c>
      <c r="B42" s="444" t="s">
        <v>42</v>
      </c>
      <c r="C42" s="444" t="s">
        <v>43</v>
      </c>
      <c r="D42" s="445" t="s">
        <v>44</v>
      </c>
      <c r="E42" s="445"/>
      <c r="F42" s="445"/>
      <c r="G42" s="445"/>
      <c r="H42" s="25"/>
      <c r="I42" s="25"/>
      <c r="J42" s="446" t="s">
        <v>45</v>
      </c>
      <c r="K42" s="26"/>
    </row>
    <row r="43" spans="1:11" s="27" customFormat="1" ht="14.25" customHeight="1" thickBot="1">
      <c r="A43" s="504"/>
      <c r="B43" s="444"/>
      <c r="C43" s="444"/>
      <c r="D43" s="447" t="s">
        <v>46</v>
      </c>
      <c r="E43" s="448" t="s">
        <v>47</v>
      </c>
      <c r="F43" s="448"/>
      <c r="G43" s="448"/>
      <c r="H43" s="28"/>
      <c r="I43" s="28"/>
      <c r="J43" s="446"/>
      <c r="K43" s="26"/>
    </row>
    <row r="44" spans="1:11" s="27" customFormat="1" ht="14.25" customHeight="1" thickBot="1">
      <c r="A44" s="504"/>
      <c r="B44" s="444"/>
      <c r="C44" s="444"/>
      <c r="D44" s="447"/>
      <c r="E44" s="449" t="s">
        <v>48</v>
      </c>
      <c r="F44" s="449" t="s">
        <v>49</v>
      </c>
      <c r="G44" s="503" t="s">
        <v>50</v>
      </c>
      <c r="H44" s="29" t="s">
        <v>51</v>
      </c>
      <c r="I44" s="443" t="s">
        <v>52</v>
      </c>
      <c r="J44" s="446"/>
      <c r="K44" s="26"/>
    </row>
    <row r="45" spans="1:11" s="27" customFormat="1" ht="14.25" customHeight="1" thickBot="1">
      <c r="A45" s="504"/>
      <c r="B45" s="444"/>
      <c r="C45" s="444"/>
      <c r="D45" s="447"/>
      <c r="E45" s="449"/>
      <c r="F45" s="449"/>
      <c r="G45" s="503"/>
      <c r="H45" s="30"/>
      <c r="I45" s="443"/>
      <c r="J45" s="446"/>
      <c r="K45" s="26"/>
    </row>
    <row r="46" spans="1:11" s="27" customFormat="1" ht="15" customHeight="1">
      <c r="A46" s="504"/>
      <c r="B46" s="444"/>
      <c r="C46" s="444"/>
      <c r="D46" s="447"/>
      <c r="E46" s="449"/>
      <c r="F46" s="449"/>
      <c r="G46" s="503"/>
      <c r="H46" s="30"/>
      <c r="I46" s="443"/>
      <c r="J46" s="446"/>
      <c r="K46" s="26"/>
    </row>
    <row r="47" spans="1:11" s="36" customFormat="1" ht="10.5" customHeight="1" thickBot="1">
      <c r="A47" s="82">
        <v>1</v>
      </c>
      <c r="B47" s="83">
        <v>2</v>
      </c>
      <c r="C47" s="83">
        <v>3</v>
      </c>
      <c r="D47" s="83">
        <v>4</v>
      </c>
      <c r="E47" s="84">
        <v>5</v>
      </c>
      <c r="F47" s="84">
        <v>6</v>
      </c>
      <c r="G47" s="84">
        <v>7</v>
      </c>
      <c r="H47" s="84">
        <v>10</v>
      </c>
      <c r="I47" s="84">
        <v>8</v>
      </c>
      <c r="J47" s="85">
        <v>9</v>
      </c>
      <c r="K47" s="35"/>
    </row>
    <row r="48" spans="1:11" s="27" customFormat="1" ht="29.25" customHeight="1" thickBot="1">
      <c r="A48" s="511" t="s">
        <v>89</v>
      </c>
      <c r="B48" s="512"/>
      <c r="C48" s="37">
        <f aca="true" t="shared" si="2" ref="C48:H48">C49</f>
        <v>6000</v>
      </c>
      <c r="D48" s="37">
        <f t="shared" si="2"/>
        <v>0</v>
      </c>
      <c r="E48" s="37">
        <f t="shared" si="2"/>
        <v>6000</v>
      </c>
      <c r="F48" s="37">
        <f t="shared" si="2"/>
        <v>0</v>
      </c>
      <c r="G48" s="37">
        <f t="shared" si="2"/>
        <v>0</v>
      </c>
      <c r="H48" s="37">
        <f t="shared" si="2"/>
        <v>0</v>
      </c>
      <c r="I48" s="38"/>
      <c r="J48" s="39"/>
      <c r="K48" s="26"/>
    </row>
    <row r="49" spans="1:11" s="27" customFormat="1" ht="21.75" customHeight="1" thickBot="1">
      <c r="A49" s="526" t="s">
        <v>90</v>
      </c>
      <c r="B49" s="526"/>
      <c r="C49" s="40">
        <f>C50</f>
        <v>6000</v>
      </c>
      <c r="D49" s="40">
        <f>SUM(D50:D58)</f>
        <v>0</v>
      </c>
      <c r="E49" s="40">
        <f>E50</f>
        <v>6000</v>
      </c>
      <c r="F49" s="40">
        <f>F50</f>
        <v>0</v>
      </c>
      <c r="G49" s="40">
        <f>G50</f>
        <v>0</v>
      </c>
      <c r="H49" s="40">
        <f>H50</f>
        <v>0</v>
      </c>
      <c r="I49" s="41"/>
      <c r="J49" s="42"/>
      <c r="K49" s="26"/>
    </row>
    <row r="50" spans="1:11" s="27" customFormat="1" ht="28.5" customHeight="1" thickBot="1" thickTop="1">
      <c r="A50" s="43">
        <v>1</v>
      </c>
      <c r="B50" s="44" t="s">
        <v>91</v>
      </c>
      <c r="C50" s="45">
        <f>SUM(D50,E50,F50,G50,I50)</f>
        <v>6000</v>
      </c>
      <c r="D50" s="46"/>
      <c r="E50" s="47">
        <v>6000</v>
      </c>
      <c r="F50" s="46"/>
      <c r="G50" s="46"/>
      <c r="H50" s="46"/>
      <c r="I50" s="71"/>
      <c r="J50" s="58" t="s">
        <v>55</v>
      </c>
      <c r="K50" s="26"/>
    </row>
    <row r="51" spans="1:11" s="27" customFormat="1" ht="29.25" customHeight="1" thickBot="1">
      <c r="A51" s="511" t="s">
        <v>92</v>
      </c>
      <c r="B51" s="512"/>
      <c r="C51" s="37">
        <f aca="true" t="shared" si="3" ref="C51:H51">C52</f>
        <v>20000</v>
      </c>
      <c r="D51" s="37">
        <f t="shared" si="3"/>
        <v>0</v>
      </c>
      <c r="E51" s="37">
        <f t="shared" si="3"/>
        <v>20000</v>
      </c>
      <c r="F51" s="37">
        <f t="shared" si="3"/>
        <v>0</v>
      </c>
      <c r="G51" s="37">
        <f t="shared" si="3"/>
        <v>0</v>
      </c>
      <c r="H51" s="37">
        <f t="shared" si="3"/>
        <v>0</v>
      </c>
      <c r="I51" s="38"/>
      <c r="J51" s="39"/>
      <c r="K51" s="26"/>
    </row>
    <row r="52" spans="1:11" s="27" customFormat="1" ht="21.75" customHeight="1">
      <c r="A52" s="538" t="s">
        <v>93</v>
      </c>
      <c r="B52" s="538"/>
      <c r="C52" s="88">
        <f>C53</f>
        <v>20000</v>
      </c>
      <c r="D52" s="88">
        <f>SUM(D53:D62)</f>
        <v>0</v>
      </c>
      <c r="E52" s="88">
        <f>E53</f>
        <v>20000</v>
      </c>
      <c r="F52" s="88">
        <f>F53</f>
        <v>0</v>
      </c>
      <c r="G52" s="88">
        <f>G53</f>
        <v>0</v>
      </c>
      <c r="H52" s="88">
        <f>H53</f>
        <v>0</v>
      </c>
      <c r="I52" s="89"/>
      <c r="J52" s="90"/>
      <c r="K52" s="26"/>
    </row>
    <row r="53" spans="1:11" s="27" customFormat="1" ht="28.5" customHeight="1" thickBot="1">
      <c r="A53" s="91">
        <v>1</v>
      </c>
      <c r="B53" s="92" t="s">
        <v>94</v>
      </c>
      <c r="C53" s="93">
        <f>SUM(D53,E53,F53,G53,I53)</f>
        <v>20000</v>
      </c>
      <c r="D53" s="93"/>
      <c r="E53" s="94">
        <v>20000</v>
      </c>
      <c r="F53" s="93"/>
      <c r="G53" s="93"/>
      <c r="H53" s="93"/>
      <c r="I53" s="95"/>
      <c r="J53" s="96" t="s">
        <v>55</v>
      </c>
      <c r="K53" s="26"/>
    </row>
    <row r="54" spans="1:11" s="101" customFormat="1" ht="21.75" customHeight="1" thickBot="1">
      <c r="A54" s="515" t="s">
        <v>95</v>
      </c>
      <c r="B54" s="516"/>
      <c r="C54" s="97">
        <f>C55+C61</f>
        <v>66730.18</v>
      </c>
      <c r="D54" s="97">
        <f>D55+D61</f>
        <v>0</v>
      </c>
      <c r="E54" s="97">
        <f>E55+E61</f>
        <v>66730.18</v>
      </c>
      <c r="F54" s="98">
        <f>F55</f>
        <v>0</v>
      </c>
      <c r="G54" s="98">
        <f>G55</f>
        <v>0</v>
      </c>
      <c r="H54" s="98">
        <f>H55</f>
        <v>0</v>
      </c>
      <c r="I54" s="98"/>
      <c r="J54" s="99"/>
      <c r="K54" s="100"/>
    </row>
    <row r="55" spans="1:11" s="101" customFormat="1" ht="21.75" customHeight="1" thickBot="1">
      <c r="A55" s="510" t="s">
        <v>96</v>
      </c>
      <c r="B55" s="510"/>
      <c r="C55" s="102">
        <f>C56+C57+C58+C60+C59</f>
        <v>45972.59</v>
      </c>
      <c r="D55" s="102">
        <f>D56+D57+D58+D60+D59</f>
        <v>0</v>
      </c>
      <c r="E55" s="102">
        <f>E56+E57+E58+E60+E59</f>
        <v>45972.59</v>
      </c>
      <c r="F55" s="102">
        <f>F56+F57+F58+F60+F59</f>
        <v>0</v>
      </c>
      <c r="G55" s="102">
        <f>G56+G57+G58+G60+G59</f>
        <v>0</v>
      </c>
      <c r="H55" s="103">
        <f>H56+H60</f>
        <v>0</v>
      </c>
      <c r="I55" s="103"/>
      <c r="J55" s="104"/>
      <c r="K55" s="100"/>
    </row>
    <row r="56" spans="1:11" s="27" customFormat="1" ht="23.25" customHeight="1" thickTop="1">
      <c r="A56" s="105">
        <v>1</v>
      </c>
      <c r="B56" s="106" t="s">
        <v>97</v>
      </c>
      <c r="C56" s="107">
        <f>D56+E56+F56</f>
        <v>8215</v>
      </c>
      <c r="D56" s="107"/>
      <c r="E56" s="107">
        <v>8215</v>
      </c>
      <c r="F56" s="107"/>
      <c r="G56" s="107"/>
      <c r="H56" s="107"/>
      <c r="I56" s="517" t="s">
        <v>98</v>
      </c>
      <c r="J56" s="108" t="s">
        <v>99</v>
      </c>
      <c r="K56" s="26"/>
    </row>
    <row r="57" spans="1:11" s="27" customFormat="1" ht="23.25" customHeight="1">
      <c r="A57" s="109">
        <v>2</v>
      </c>
      <c r="B57" s="110" t="s">
        <v>100</v>
      </c>
      <c r="C57" s="111">
        <f>D57+E57+F57</f>
        <v>8000</v>
      </c>
      <c r="D57" s="46"/>
      <c r="E57" s="46">
        <v>8000</v>
      </c>
      <c r="F57" s="46"/>
      <c r="G57" s="46"/>
      <c r="H57" s="46"/>
      <c r="I57" s="518"/>
      <c r="J57" s="112" t="s">
        <v>99</v>
      </c>
      <c r="K57" s="26"/>
    </row>
    <row r="58" spans="1:11" s="27" customFormat="1" ht="23.25" customHeight="1">
      <c r="A58" s="109">
        <v>3</v>
      </c>
      <c r="B58" s="110" t="s">
        <v>101</v>
      </c>
      <c r="C58" s="113">
        <f>D58+E58+F58</f>
        <v>4000</v>
      </c>
      <c r="D58" s="46"/>
      <c r="E58" s="46">
        <v>4000</v>
      </c>
      <c r="F58" s="46"/>
      <c r="G58" s="46"/>
      <c r="H58" s="46"/>
      <c r="I58" s="518"/>
      <c r="J58" s="70" t="s">
        <v>102</v>
      </c>
      <c r="K58" s="26"/>
    </row>
    <row r="59" spans="1:11" s="27" customFormat="1" ht="23.25" customHeight="1">
      <c r="A59" s="109">
        <v>4</v>
      </c>
      <c r="B59" s="110" t="s">
        <v>103</v>
      </c>
      <c r="C59" s="114">
        <f>D59+E59+F59</f>
        <v>20757.59</v>
      </c>
      <c r="D59" s="115"/>
      <c r="E59" s="115">
        <v>20757.59</v>
      </c>
      <c r="F59" s="46"/>
      <c r="G59" s="46"/>
      <c r="H59" s="46"/>
      <c r="I59" s="518"/>
      <c r="J59" s="70" t="s">
        <v>102</v>
      </c>
      <c r="K59" s="26"/>
    </row>
    <row r="60" spans="1:11" s="27" customFormat="1" ht="23.25" customHeight="1">
      <c r="A60" s="109">
        <v>5</v>
      </c>
      <c r="B60" s="110" t="s">
        <v>104</v>
      </c>
      <c r="C60" s="113">
        <f>D60+E60+F60</f>
        <v>5000</v>
      </c>
      <c r="D60" s="46"/>
      <c r="E60" s="46">
        <f>4800+200</f>
        <v>5000</v>
      </c>
      <c r="F60" s="46"/>
      <c r="G60" s="46"/>
      <c r="H60" s="46"/>
      <c r="I60" s="519"/>
      <c r="J60" s="70" t="s">
        <v>105</v>
      </c>
      <c r="K60" s="26"/>
    </row>
    <row r="61" spans="1:11" s="101" customFormat="1" ht="21.75" customHeight="1" thickBot="1">
      <c r="A61" s="509" t="s">
        <v>106</v>
      </c>
      <c r="B61" s="510"/>
      <c r="C61" s="102">
        <f>C62</f>
        <v>20757.59</v>
      </c>
      <c r="D61" s="102">
        <f>D63+D66+D64</f>
        <v>0</v>
      </c>
      <c r="E61" s="102">
        <f>E62</f>
        <v>20757.59</v>
      </c>
      <c r="F61" s="103">
        <f>F63+F66</f>
        <v>0</v>
      </c>
      <c r="G61" s="103">
        <f>G63+G66</f>
        <v>0</v>
      </c>
      <c r="H61" s="103">
        <f>H63+H66</f>
        <v>0</v>
      </c>
      <c r="I61" s="103"/>
      <c r="J61" s="104"/>
      <c r="K61" s="100"/>
    </row>
    <row r="62" spans="1:11" s="27" customFormat="1" ht="23.25" customHeight="1" thickBot="1" thickTop="1">
      <c r="A62" s="116">
        <v>1</v>
      </c>
      <c r="B62" s="117" t="s">
        <v>107</v>
      </c>
      <c r="C62" s="114">
        <f>D62+E62+F62</f>
        <v>20757.59</v>
      </c>
      <c r="D62" s="115"/>
      <c r="E62" s="115">
        <v>20757.59</v>
      </c>
      <c r="F62" s="46"/>
      <c r="G62" s="46"/>
      <c r="H62" s="46"/>
      <c r="I62" s="118" t="s">
        <v>108</v>
      </c>
      <c r="J62" s="70" t="s">
        <v>109</v>
      </c>
      <c r="K62" s="26"/>
    </row>
    <row r="63" spans="1:11" s="101" customFormat="1" ht="21.75" customHeight="1" thickBot="1">
      <c r="A63" s="515" t="s">
        <v>110</v>
      </c>
      <c r="B63" s="516"/>
      <c r="C63" s="98">
        <f aca="true" t="shared" si="4" ref="C63:I63">C64</f>
        <v>45000</v>
      </c>
      <c r="D63" s="98">
        <f t="shared" si="4"/>
        <v>0</v>
      </c>
      <c r="E63" s="98">
        <f t="shared" si="4"/>
        <v>45000</v>
      </c>
      <c r="F63" s="98">
        <f t="shared" si="4"/>
        <v>0</v>
      </c>
      <c r="G63" s="98">
        <f t="shared" si="4"/>
        <v>0</v>
      </c>
      <c r="H63" s="98">
        <f t="shared" si="4"/>
        <v>0</v>
      </c>
      <c r="I63" s="98">
        <f t="shared" si="4"/>
        <v>0</v>
      </c>
      <c r="J63" s="99"/>
      <c r="K63" s="100"/>
    </row>
    <row r="64" spans="1:11" s="101" customFormat="1" ht="21.75" customHeight="1" thickBot="1">
      <c r="A64" s="510" t="s">
        <v>111</v>
      </c>
      <c r="B64" s="510"/>
      <c r="C64" s="103">
        <f aca="true" t="shared" si="5" ref="C64:I64">C65+C66</f>
        <v>45000</v>
      </c>
      <c r="D64" s="103">
        <f t="shared" si="5"/>
        <v>0</v>
      </c>
      <c r="E64" s="103">
        <f t="shared" si="5"/>
        <v>45000</v>
      </c>
      <c r="F64" s="103">
        <f t="shared" si="5"/>
        <v>0</v>
      </c>
      <c r="G64" s="103">
        <f t="shared" si="5"/>
        <v>0</v>
      </c>
      <c r="H64" s="103">
        <f t="shared" si="5"/>
        <v>0</v>
      </c>
      <c r="I64" s="103">
        <f t="shared" si="5"/>
        <v>0</v>
      </c>
      <c r="J64" s="104"/>
      <c r="K64" s="100"/>
    </row>
    <row r="65" spans="1:11" s="27" customFormat="1" ht="21" customHeight="1" thickTop="1">
      <c r="A65" s="119">
        <v>1</v>
      </c>
      <c r="B65" s="120" t="s">
        <v>112</v>
      </c>
      <c r="C65" s="121">
        <f>D65+E65+F65+G65+I65</f>
        <v>30000</v>
      </c>
      <c r="D65" s="121"/>
      <c r="E65" s="121">
        <v>30000</v>
      </c>
      <c r="F65" s="121"/>
      <c r="G65" s="121"/>
      <c r="H65" s="121"/>
      <c r="I65" s="122"/>
      <c r="J65" s="108" t="s">
        <v>113</v>
      </c>
      <c r="K65" s="26"/>
    </row>
    <row r="66" spans="1:11" s="27" customFormat="1" ht="21" customHeight="1" thickBot="1">
      <c r="A66" s="109">
        <v>2</v>
      </c>
      <c r="B66" s="110" t="s">
        <v>114</v>
      </c>
      <c r="C66" s="46">
        <f>SUM(D66,E66,F66,G66,J66)</f>
        <v>15000</v>
      </c>
      <c r="D66" s="46"/>
      <c r="E66" s="46">
        <v>15000</v>
      </c>
      <c r="F66" s="46"/>
      <c r="G66" s="46"/>
      <c r="H66" s="46"/>
      <c r="I66" s="123"/>
      <c r="J66" s="49" t="s">
        <v>105</v>
      </c>
      <c r="K66" s="26"/>
    </row>
    <row r="67" spans="1:11" s="101" customFormat="1" ht="21.75" customHeight="1" thickBot="1">
      <c r="A67" s="515" t="s">
        <v>115</v>
      </c>
      <c r="B67" s="516"/>
      <c r="C67" s="98">
        <f aca="true" t="shared" si="6" ref="C67:I68">C68</f>
        <v>80000</v>
      </c>
      <c r="D67" s="98">
        <f t="shared" si="6"/>
        <v>0</v>
      </c>
      <c r="E67" s="98">
        <f t="shared" si="6"/>
        <v>80000</v>
      </c>
      <c r="F67" s="98">
        <f t="shared" si="6"/>
        <v>0</v>
      </c>
      <c r="G67" s="98">
        <f t="shared" si="6"/>
        <v>0</v>
      </c>
      <c r="H67" s="98">
        <f t="shared" si="6"/>
        <v>0</v>
      </c>
      <c r="I67" s="98">
        <f t="shared" si="6"/>
        <v>0</v>
      </c>
      <c r="J67" s="99"/>
      <c r="K67" s="100"/>
    </row>
    <row r="68" spans="1:11" s="101" customFormat="1" ht="21.75" customHeight="1" thickBot="1">
      <c r="A68" s="510" t="s">
        <v>116</v>
      </c>
      <c r="B68" s="510"/>
      <c r="C68" s="103">
        <f t="shared" si="6"/>
        <v>80000</v>
      </c>
      <c r="D68" s="103">
        <f t="shared" si="6"/>
        <v>0</v>
      </c>
      <c r="E68" s="103">
        <f t="shared" si="6"/>
        <v>80000</v>
      </c>
      <c r="F68" s="103">
        <f t="shared" si="6"/>
        <v>0</v>
      </c>
      <c r="G68" s="103">
        <f t="shared" si="6"/>
        <v>0</v>
      </c>
      <c r="H68" s="103">
        <f t="shared" si="6"/>
        <v>0</v>
      </c>
      <c r="I68" s="103">
        <f t="shared" si="6"/>
        <v>0</v>
      </c>
      <c r="J68" s="104"/>
      <c r="K68" s="100"/>
    </row>
    <row r="69" spans="1:11" s="27" customFormat="1" ht="33" customHeight="1" thickBot="1" thickTop="1">
      <c r="A69" s="119">
        <v>1</v>
      </c>
      <c r="B69" s="120" t="s">
        <v>117</v>
      </c>
      <c r="C69" s="121">
        <f>D69+E69+F69+G69+I69</f>
        <v>80000</v>
      </c>
      <c r="D69" s="121"/>
      <c r="E69" s="121">
        <v>80000</v>
      </c>
      <c r="F69" s="121"/>
      <c r="G69" s="121"/>
      <c r="H69" s="121"/>
      <c r="I69" s="122"/>
      <c r="J69" s="108" t="s">
        <v>118</v>
      </c>
      <c r="K69" s="26"/>
    </row>
    <row r="70" spans="1:11" s="27" customFormat="1" ht="23.25" customHeight="1" thickBot="1">
      <c r="A70" s="537" t="s">
        <v>119</v>
      </c>
      <c r="B70" s="537"/>
      <c r="C70" s="72">
        <f>C71+C73+C75</f>
        <v>36000</v>
      </c>
      <c r="D70" s="72">
        <f>D71+D73+D75</f>
        <v>0</v>
      </c>
      <c r="E70" s="72">
        <f>E71+E73+E75</f>
        <v>36000</v>
      </c>
      <c r="F70" s="72">
        <f>F71+F73+F75</f>
        <v>0</v>
      </c>
      <c r="G70" s="72">
        <f>G71+G73+G75</f>
        <v>0</v>
      </c>
      <c r="H70" s="72">
        <f>H71+H73</f>
        <v>0</v>
      </c>
      <c r="I70" s="72"/>
      <c r="J70" s="124"/>
      <c r="K70" s="26"/>
    </row>
    <row r="71" spans="1:11" s="64" customFormat="1" ht="20.25" customHeight="1" thickBot="1">
      <c r="A71" s="523" t="s">
        <v>120</v>
      </c>
      <c r="B71" s="523"/>
      <c r="C71" s="125">
        <f>C72</f>
        <v>8000</v>
      </c>
      <c r="D71" s="125">
        <f>D72</f>
        <v>0</v>
      </c>
      <c r="E71" s="125">
        <f>E72</f>
        <v>8000</v>
      </c>
      <c r="F71" s="125">
        <f>F72</f>
        <v>0</v>
      </c>
      <c r="G71" s="125">
        <f>G72</f>
        <v>0</v>
      </c>
      <c r="H71" s="125"/>
      <c r="I71" s="126"/>
      <c r="J71" s="127"/>
      <c r="K71" s="63"/>
    </row>
    <row r="72" spans="1:13" s="64" customFormat="1" ht="36" customHeight="1" thickBot="1" thickTop="1">
      <c r="A72" s="128">
        <v>1</v>
      </c>
      <c r="B72" s="129" t="s">
        <v>121</v>
      </c>
      <c r="C72" s="130">
        <f>SUM(D72,E72,F72,G72)</f>
        <v>8000</v>
      </c>
      <c r="D72" s="130"/>
      <c r="E72" s="131">
        <v>8000</v>
      </c>
      <c r="F72" s="130"/>
      <c r="G72" s="130"/>
      <c r="H72" s="130">
        <v>26400</v>
      </c>
      <c r="I72" s="132" t="s">
        <v>108</v>
      </c>
      <c r="J72" s="133" t="s">
        <v>65</v>
      </c>
      <c r="K72" s="63"/>
      <c r="M72" s="134"/>
    </row>
    <row r="73" spans="1:11" s="27" customFormat="1" ht="18.75" customHeight="1" thickBot="1">
      <c r="A73" s="522" t="s">
        <v>122</v>
      </c>
      <c r="B73" s="522"/>
      <c r="C73" s="135">
        <f>SUM(C74:C74)</f>
        <v>5000</v>
      </c>
      <c r="D73" s="135">
        <f>SUM(D74:D74)</f>
        <v>0</v>
      </c>
      <c r="E73" s="135">
        <f>SUM(E74:E74)</f>
        <v>5000</v>
      </c>
      <c r="F73" s="135">
        <f>F74</f>
        <v>0</v>
      </c>
      <c r="G73" s="135">
        <f>G74</f>
        <v>0</v>
      </c>
      <c r="H73" s="135"/>
      <c r="I73" s="136"/>
      <c r="J73" s="137"/>
      <c r="K73" s="26"/>
    </row>
    <row r="74" spans="1:11" s="27" customFormat="1" ht="21.75" customHeight="1" thickBot="1" thickTop="1">
      <c r="A74" s="43">
        <v>1</v>
      </c>
      <c r="B74" s="54" t="s">
        <v>123</v>
      </c>
      <c r="C74" s="46">
        <f>SUM(D74,E74,F74,G74)</f>
        <v>5000</v>
      </c>
      <c r="D74" s="46"/>
      <c r="E74" s="47">
        <v>5000</v>
      </c>
      <c r="F74" s="46"/>
      <c r="G74" s="46"/>
      <c r="H74" s="46">
        <v>26400</v>
      </c>
      <c r="I74" s="138"/>
      <c r="J74" s="49" t="s">
        <v>105</v>
      </c>
      <c r="K74" s="26"/>
    </row>
    <row r="75" spans="1:11" s="27" customFormat="1" ht="18.75" customHeight="1" thickBot="1">
      <c r="A75" s="522" t="s">
        <v>124</v>
      </c>
      <c r="B75" s="522"/>
      <c r="C75" s="135">
        <f>SUM(C76:C76)</f>
        <v>23000</v>
      </c>
      <c r="D75" s="135">
        <f>SUM(D76:D76)</f>
        <v>0</v>
      </c>
      <c r="E75" s="135">
        <f>SUM(E76:E76)</f>
        <v>23000</v>
      </c>
      <c r="F75" s="135">
        <f>F76</f>
        <v>0</v>
      </c>
      <c r="G75" s="135">
        <f>G76</f>
        <v>0</v>
      </c>
      <c r="H75" s="135"/>
      <c r="I75" s="136"/>
      <c r="J75" s="137"/>
      <c r="K75" s="26"/>
    </row>
    <row r="76" spans="1:11" s="27" customFormat="1" ht="21.75" customHeight="1" thickTop="1">
      <c r="A76" s="43">
        <v>1</v>
      </c>
      <c r="B76" s="54" t="s">
        <v>150</v>
      </c>
      <c r="C76" s="46">
        <f>SUM(D76,E76,F76,G76)</f>
        <v>23000</v>
      </c>
      <c r="D76" s="46"/>
      <c r="E76" s="47">
        <f>50000-10000-15000-2000</f>
        <v>23000</v>
      </c>
      <c r="F76" s="46"/>
      <c r="G76" s="46"/>
      <c r="H76" s="46">
        <v>26400</v>
      </c>
      <c r="I76" s="138"/>
      <c r="J76" s="108" t="s">
        <v>105</v>
      </c>
      <c r="K76" s="26"/>
    </row>
    <row r="77" spans="2:11" s="21" customFormat="1" ht="24.75" customHeight="1" thickBot="1">
      <c r="B77" s="22"/>
      <c r="J77" s="23"/>
      <c r="K77" s="24"/>
    </row>
    <row r="78" spans="1:11" s="27" customFormat="1" ht="14.25" customHeight="1" thickBot="1">
      <c r="A78" s="504" t="s">
        <v>41</v>
      </c>
      <c r="B78" s="444" t="s">
        <v>42</v>
      </c>
      <c r="C78" s="444" t="s">
        <v>43</v>
      </c>
      <c r="D78" s="445" t="s">
        <v>44</v>
      </c>
      <c r="E78" s="445"/>
      <c r="F78" s="445"/>
      <c r="G78" s="445"/>
      <c r="H78" s="25"/>
      <c r="I78" s="25"/>
      <c r="J78" s="446" t="s">
        <v>45</v>
      </c>
      <c r="K78" s="26"/>
    </row>
    <row r="79" spans="1:11" s="27" customFormat="1" ht="14.25" customHeight="1" thickBot="1">
      <c r="A79" s="504"/>
      <c r="B79" s="444"/>
      <c r="C79" s="444"/>
      <c r="D79" s="447" t="s">
        <v>46</v>
      </c>
      <c r="E79" s="448" t="s">
        <v>47</v>
      </c>
      <c r="F79" s="448"/>
      <c r="G79" s="448"/>
      <c r="H79" s="28"/>
      <c r="I79" s="28"/>
      <c r="J79" s="446"/>
      <c r="K79" s="26"/>
    </row>
    <row r="80" spans="1:11" s="27" customFormat="1" ht="14.25" customHeight="1" thickBot="1">
      <c r="A80" s="504"/>
      <c r="B80" s="444"/>
      <c r="C80" s="444"/>
      <c r="D80" s="447"/>
      <c r="E80" s="449" t="s">
        <v>48</v>
      </c>
      <c r="F80" s="449" t="s">
        <v>49</v>
      </c>
      <c r="G80" s="503" t="s">
        <v>50</v>
      </c>
      <c r="H80" s="29" t="s">
        <v>51</v>
      </c>
      <c r="I80" s="443" t="s">
        <v>52</v>
      </c>
      <c r="J80" s="446"/>
      <c r="K80" s="26"/>
    </row>
    <row r="81" spans="1:11" s="27" customFormat="1" ht="14.25" customHeight="1" thickBot="1">
      <c r="A81" s="504"/>
      <c r="B81" s="444"/>
      <c r="C81" s="444"/>
      <c r="D81" s="447"/>
      <c r="E81" s="449"/>
      <c r="F81" s="449"/>
      <c r="G81" s="503"/>
      <c r="H81" s="30"/>
      <c r="I81" s="443"/>
      <c r="J81" s="446"/>
      <c r="K81" s="26"/>
    </row>
    <row r="82" spans="1:11" s="27" customFormat="1" ht="15" customHeight="1">
      <c r="A82" s="504"/>
      <c r="B82" s="444"/>
      <c r="C82" s="444"/>
      <c r="D82" s="447"/>
      <c r="E82" s="449"/>
      <c r="F82" s="449"/>
      <c r="G82" s="503"/>
      <c r="H82" s="30"/>
      <c r="I82" s="443"/>
      <c r="J82" s="446"/>
      <c r="K82" s="26"/>
    </row>
    <row r="83" spans="1:11" s="36" customFormat="1" ht="10.5" customHeight="1" thickBot="1">
      <c r="A83" s="82">
        <v>1</v>
      </c>
      <c r="B83" s="83">
        <v>2</v>
      </c>
      <c r="C83" s="83">
        <v>3</v>
      </c>
      <c r="D83" s="83">
        <v>4</v>
      </c>
      <c r="E83" s="84">
        <v>5</v>
      </c>
      <c r="F83" s="84">
        <v>6</v>
      </c>
      <c r="G83" s="84">
        <v>7</v>
      </c>
      <c r="H83" s="84">
        <v>10</v>
      </c>
      <c r="I83" s="84">
        <v>8</v>
      </c>
      <c r="J83" s="85">
        <v>9</v>
      </c>
      <c r="K83" s="35"/>
    </row>
    <row r="84" spans="1:11" s="101" customFormat="1" ht="26.25" customHeight="1" thickBot="1">
      <c r="A84" s="524" t="s">
        <v>125</v>
      </c>
      <c r="B84" s="524"/>
      <c r="C84" s="139">
        <f aca="true" t="shared" si="7" ref="C84:I84">C85+C93</f>
        <v>445120</v>
      </c>
      <c r="D84" s="139">
        <f t="shared" si="7"/>
        <v>56764</v>
      </c>
      <c r="E84" s="139">
        <f t="shared" si="7"/>
        <v>388356</v>
      </c>
      <c r="F84" s="139">
        <f t="shared" si="7"/>
        <v>0</v>
      </c>
      <c r="G84" s="139">
        <f t="shared" si="7"/>
        <v>0</v>
      </c>
      <c r="H84" s="139">
        <f t="shared" si="7"/>
        <v>0</v>
      </c>
      <c r="I84" s="139">
        <f t="shared" si="7"/>
        <v>0</v>
      </c>
      <c r="J84" s="124"/>
      <c r="K84" s="100"/>
    </row>
    <row r="85" spans="1:11" s="101" customFormat="1" ht="27" customHeight="1" thickBot="1">
      <c r="A85" s="525" t="s">
        <v>126</v>
      </c>
      <c r="B85" s="525"/>
      <c r="C85" s="140">
        <f>C86+C87+C88+C89+C90+C91+C92</f>
        <v>423620</v>
      </c>
      <c r="D85" s="140">
        <f>D86+D87+D88+D89+D90+D91+D92</f>
        <v>56764</v>
      </c>
      <c r="E85" s="140">
        <f>E86+E87+E88+E89+E90+E91+E92</f>
        <v>366856</v>
      </c>
      <c r="F85" s="140">
        <f>F86+F87+F88+F89+F90+F91+F92</f>
        <v>0</v>
      </c>
      <c r="G85" s="140">
        <f>G86+G87+G88+G89+G90+G91+G92</f>
        <v>0</v>
      </c>
      <c r="H85" s="140">
        <f>SUM(H86:H92)</f>
        <v>0</v>
      </c>
      <c r="I85" s="140">
        <f>SUM(I86:I92)</f>
        <v>0</v>
      </c>
      <c r="J85" s="141"/>
      <c r="K85" s="100"/>
    </row>
    <row r="86" spans="1:11" s="27" customFormat="1" ht="27" customHeight="1" thickTop="1">
      <c r="A86" s="43">
        <v>1</v>
      </c>
      <c r="B86" s="54" t="s">
        <v>127</v>
      </c>
      <c r="C86" s="46">
        <f>SUM(D86,E86,F86,G86)</f>
        <v>15644</v>
      </c>
      <c r="D86" s="46"/>
      <c r="E86" s="46">
        <f>13825+5000-3181</f>
        <v>15644</v>
      </c>
      <c r="F86" s="46"/>
      <c r="G86" s="46"/>
      <c r="H86" s="46"/>
      <c r="I86" s="123"/>
      <c r="J86" s="505" t="s">
        <v>55</v>
      </c>
      <c r="K86" s="26"/>
    </row>
    <row r="87" spans="1:11" s="27" customFormat="1" ht="27" customHeight="1">
      <c r="A87" s="142">
        <v>2</v>
      </c>
      <c r="B87" s="54" t="s">
        <v>128</v>
      </c>
      <c r="C87" s="46">
        <f aca="true" t="shared" si="8" ref="C87:C92">SUM(D87,E87,F87,G87,J87)</f>
        <v>74486</v>
      </c>
      <c r="D87" s="45"/>
      <c r="E87" s="45">
        <f>100000-65000+15000-8000-2800+35286</f>
        <v>74486</v>
      </c>
      <c r="F87" s="45"/>
      <c r="G87" s="45"/>
      <c r="H87" s="45"/>
      <c r="I87" s="143"/>
      <c r="J87" s="508"/>
      <c r="K87" s="26"/>
    </row>
    <row r="88" spans="1:11" s="27" customFormat="1" ht="27" customHeight="1" thickBot="1">
      <c r="A88" s="43">
        <v>3</v>
      </c>
      <c r="B88" s="54" t="s">
        <v>129</v>
      </c>
      <c r="C88" s="46">
        <f t="shared" si="8"/>
        <v>17000</v>
      </c>
      <c r="D88" s="45"/>
      <c r="E88" s="45">
        <f>20000-3000</f>
        <v>17000</v>
      </c>
      <c r="F88" s="45"/>
      <c r="G88" s="45"/>
      <c r="H88" s="45"/>
      <c r="I88" s="143"/>
      <c r="J88" s="506"/>
      <c r="K88" s="26"/>
    </row>
    <row r="89" spans="1:11" s="27" customFormat="1" ht="27" customHeight="1" thickTop="1">
      <c r="A89" s="142">
        <v>4</v>
      </c>
      <c r="B89" s="54" t="s">
        <v>130</v>
      </c>
      <c r="C89" s="46">
        <f t="shared" si="8"/>
        <v>7000</v>
      </c>
      <c r="D89" s="46"/>
      <c r="E89" s="46">
        <v>7000</v>
      </c>
      <c r="F89" s="46"/>
      <c r="G89" s="46"/>
      <c r="H89" s="46"/>
      <c r="I89" s="123"/>
      <c r="J89" s="505" t="s">
        <v>55</v>
      </c>
      <c r="K89" s="26"/>
    </row>
    <row r="90" spans="1:11" s="27" customFormat="1" ht="27" customHeight="1">
      <c r="A90" s="142">
        <v>5</v>
      </c>
      <c r="B90" s="54" t="s">
        <v>131</v>
      </c>
      <c r="C90" s="46">
        <f t="shared" si="8"/>
        <v>200800</v>
      </c>
      <c r="D90" s="46"/>
      <c r="E90" s="46">
        <f>190000+8000+2800</f>
        <v>200800</v>
      </c>
      <c r="F90" s="46"/>
      <c r="G90" s="46"/>
      <c r="H90" s="46"/>
      <c r="I90" s="123"/>
      <c r="J90" s="508"/>
      <c r="K90" s="26"/>
    </row>
    <row r="91" spans="1:11" s="27" customFormat="1" ht="27" customHeight="1">
      <c r="A91" s="142">
        <v>6</v>
      </c>
      <c r="B91" s="54" t="s">
        <v>132</v>
      </c>
      <c r="C91" s="46">
        <f t="shared" si="8"/>
        <v>21875</v>
      </c>
      <c r="D91" s="46"/>
      <c r="E91" s="46">
        <f>10000+24000-16000+6875-2800-200</f>
        <v>21875</v>
      </c>
      <c r="F91" s="46"/>
      <c r="G91" s="46"/>
      <c r="H91" s="46"/>
      <c r="I91" s="123"/>
      <c r="J91" s="506"/>
      <c r="K91" s="26"/>
    </row>
    <row r="92" spans="1:11" s="27" customFormat="1" ht="30" customHeight="1" thickBot="1">
      <c r="A92" s="142">
        <v>7</v>
      </c>
      <c r="B92" s="54" t="s">
        <v>133</v>
      </c>
      <c r="C92" s="46">
        <f t="shared" si="8"/>
        <v>86815</v>
      </c>
      <c r="D92" s="46">
        <f>96025-39261</f>
        <v>56764</v>
      </c>
      <c r="E92" s="46">
        <f>60717-30666</f>
        <v>30051</v>
      </c>
      <c r="F92" s="46"/>
      <c r="G92" s="46"/>
      <c r="H92" s="46"/>
      <c r="I92" s="118" t="s">
        <v>134</v>
      </c>
      <c r="J92" s="144" t="s">
        <v>135</v>
      </c>
      <c r="K92" s="26"/>
    </row>
    <row r="93" spans="1:11" s="101" customFormat="1" ht="23.25" customHeight="1" thickBot="1">
      <c r="A93" s="521" t="s">
        <v>136</v>
      </c>
      <c r="B93" s="521"/>
      <c r="C93" s="140">
        <f aca="true" t="shared" si="9" ref="C93:I93">SUM(C94:C97)</f>
        <v>21500</v>
      </c>
      <c r="D93" s="140">
        <f t="shared" si="9"/>
        <v>0</v>
      </c>
      <c r="E93" s="140">
        <f t="shared" si="9"/>
        <v>21500</v>
      </c>
      <c r="F93" s="140">
        <f t="shared" si="9"/>
        <v>0</v>
      </c>
      <c r="G93" s="140">
        <f t="shared" si="9"/>
        <v>0</v>
      </c>
      <c r="H93" s="140">
        <f t="shared" si="9"/>
        <v>0</v>
      </c>
      <c r="I93" s="140">
        <f t="shared" si="9"/>
        <v>0</v>
      </c>
      <c r="J93" s="141"/>
      <c r="K93" s="100"/>
    </row>
    <row r="94" spans="1:11" s="101" customFormat="1" ht="21.75" customHeight="1" thickBot="1" thickTop="1">
      <c r="A94" s="145">
        <v>1</v>
      </c>
      <c r="B94" s="120" t="s">
        <v>137</v>
      </c>
      <c r="C94" s="46">
        <f>SUM(D94,E94,F94,G94,J94)</f>
        <v>4500</v>
      </c>
      <c r="D94" s="146"/>
      <c r="E94" s="147">
        <v>4500</v>
      </c>
      <c r="F94" s="146"/>
      <c r="G94" s="148"/>
      <c r="H94" s="148"/>
      <c r="I94" s="148"/>
      <c r="J94" s="513" t="s">
        <v>55</v>
      </c>
      <c r="K94" s="100"/>
    </row>
    <row r="95" spans="1:11" s="27" customFormat="1" ht="21.75" customHeight="1" thickBot="1" thickTop="1">
      <c r="A95" s="43">
        <v>2</v>
      </c>
      <c r="B95" s="55" t="s">
        <v>138</v>
      </c>
      <c r="C95" s="46">
        <f>SUM(D95,E95,F95,G95,J95)</f>
        <v>8000</v>
      </c>
      <c r="D95" s="46"/>
      <c r="E95" s="46">
        <v>8000</v>
      </c>
      <c r="F95" s="46"/>
      <c r="G95" s="46"/>
      <c r="H95" s="46"/>
      <c r="I95" s="123"/>
      <c r="J95" s="513"/>
      <c r="K95" s="26"/>
    </row>
    <row r="96" spans="1:11" s="27" customFormat="1" ht="21.75" customHeight="1" thickBot="1" thickTop="1">
      <c r="A96" s="43">
        <v>3</v>
      </c>
      <c r="B96" s="110" t="s">
        <v>139</v>
      </c>
      <c r="C96" s="46">
        <f>SUM(D96,E96,F96,G96,J96)</f>
        <v>9000</v>
      </c>
      <c r="D96" s="46"/>
      <c r="E96" s="46">
        <v>9000</v>
      </c>
      <c r="F96" s="46"/>
      <c r="G96" s="46"/>
      <c r="H96" s="46"/>
      <c r="I96" s="123"/>
      <c r="J96" s="513"/>
      <c r="K96" s="26"/>
    </row>
    <row r="97" spans="1:11" s="27" customFormat="1" ht="18.75" customHeight="1" hidden="1" thickBot="1" thickTop="1">
      <c r="A97" s="149">
        <v>4</v>
      </c>
      <c r="B97" s="150" t="s">
        <v>140</v>
      </c>
      <c r="C97" s="151">
        <f>SUM(D97,E97,F97,G97,J97)</f>
        <v>0</v>
      </c>
      <c r="D97" s="151"/>
      <c r="E97" s="151"/>
      <c r="F97" s="151"/>
      <c r="G97" s="151"/>
      <c r="H97" s="151"/>
      <c r="I97" s="152"/>
      <c r="J97" s="514"/>
      <c r="K97" s="26"/>
    </row>
    <row r="98" spans="1:11" s="27" customFormat="1" ht="23.25" customHeight="1" thickBot="1">
      <c r="A98" s="511" t="s">
        <v>141</v>
      </c>
      <c r="B98" s="512"/>
      <c r="C98" s="37">
        <f aca="true" t="shared" si="10" ref="C98:H98">C99</f>
        <v>139000</v>
      </c>
      <c r="D98" s="37">
        <f t="shared" si="10"/>
        <v>0</v>
      </c>
      <c r="E98" s="37">
        <f t="shared" si="10"/>
        <v>139000</v>
      </c>
      <c r="F98" s="37">
        <f t="shared" si="10"/>
        <v>0</v>
      </c>
      <c r="G98" s="37">
        <f t="shared" si="10"/>
        <v>0</v>
      </c>
      <c r="H98" s="37">
        <f t="shared" si="10"/>
        <v>0</v>
      </c>
      <c r="I98" s="37"/>
      <c r="J98" s="99"/>
      <c r="K98" s="26"/>
    </row>
    <row r="99" spans="1:11" s="27" customFormat="1" ht="23.25" customHeight="1" thickBot="1">
      <c r="A99" s="520" t="s">
        <v>142</v>
      </c>
      <c r="B99" s="520"/>
      <c r="C99" s="40">
        <f>C100+C103+C101+C102</f>
        <v>139000</v>
      </c>
      <c r="D99" s="40">
        <f>D100+D103+D101+D102</f>
        <v>0</v>
      </c>
      <c r="E99" s="40">
        <f>E100+E103+E101+E102</f>
        <v>139000</v>
      </c>
      <c r="F99" s="40">
        <f>F100+F103</f>
        <v>0</v>
      </c>
      <c r="G99" s="40">
        <f>G100+G103</f>
        <v>0</v>
      </c>
      <c r="H99" s="40">
        <f>H100+H103</f>
        <v>0</v>
      </c>
      <c r="I99" s="40"/>
      <c r="J99" s="153"/>
      <c r="K99" s="26"/>
    </row>
    <row r="100" spans="1:11" s="27" customFormat="1" ht="21.75" customHeight="1" thickTop="1">
      <c r="A100" s="154">
        <v>1</v>
      </c>
      <c r="B100" s="110" t="s">
        <v>143</v>
      </c>
      <c r="C100" s="107">
        <f>SUM(D100,E100,F100,G100,J100)</f>
        <v>118390</v>
      </c>
      <c r="D100" s="107"/>
      <c r="E100" s="107">
        <f>139000-E101-E102</f>
        <v>118390</v>
      </c>
      <c r="F100" s="107"/>
      <c r="G100" s="107"/>
      <c r="H100" s="107"/>
      <c r="I100" s="132"/>
      <c r="J100" s="505" t="s">
        <v>55</v>
      </c>
      <c r="K100" s="26"/>
    </row>
    <row r="101" spans="1:11" s="27" customFormat="1" ht="29.25" customHeight="1">
      <c r="A101" s="155">
        <v>2</v>
      </c>
      <c r="B101" s="110" t="s">
        <v>144</v>
      </c>
      <c r="C101" s="113">
        <f>SUM(D101,E101,F101,G101,J101)</f>
        <v>12000</v>
      </c>
      <c r="D101" s="113"/>
      <c r="E101" s="113">
        <v>12000</v>
      </c>
      <c r="F101" s="113"/>
      <c r="G101" s="113"/>
      <c r="H101" s="113"/>
      <c r="I101" s="156"/>
      <c r="J101" s="506"/>
      <c r="K101" s="26"/>
    </row>
    <row r="102" spans="1:11" s="27" customFormat="1" ht="30.75" customHeight="1" thickBot="1">
      <c r="A102" s="155">
        <v>3</v>
      </c>
      <c r="B102" s="110" t="s">
        <v>145</v>
      </c>
      <c r="C102" s="113">
        <f>SUM(D102,E102,F102,G102,J102)</f>
        <v>8610</v>
      </c>
      <c r="D102" s="113"/>
      <c r="E102" s="113">
        <v>8610</v>
      </c>
      <c r="F102" s="113"/>
      <c r="G102" s="113"/>
      <c r="H102" s="113"/>
      <c r="I102" s="118" t="s">
        <v>146</v>
      </c>
      <c r="J102" s="157" t="s">
        <v>65</v>
      </c>
      <c r="K102" s="26"/>
    </row>
    <row r="103" spans="1:11" s="27" customFormat="1" ht="20.25" customHeight="1" hidden="1" thickBot="1">
      <c r="A103" s="43">
        <v>4</v>
      </c>
      <c r="B103" s="158" t="s">
        <v>147</v>
      </c>
      <c r="C103" s="46">
        <f>SUM(D103,E103,F103,G103,J103)</f>
        <v>0</v>
      </c>
      <c r="D103" s="46"/>
      <c r="E103" s="46"/>
      <c r="F103" s="46"/>
      <c r="G103" s="46"/>
      <c r="H103" s="46"/>
      <c r="I103" s="118"/>
      <c r="J103" s="159" t="s">
        <v>105</v>
      </c>
      <c r="K103" s="26"/>
    </row>
    <row r="104" spans="1:11" s="27" customFormat="1" ht="22.5" customHeight="1" thickBot="1">
      <c r="A104" s="160"/>
      <c r="B104" s="161" t="s">
        <v>148</v>
      </c>
      <c r="C104" s="162">
        <f>C98+C84+C70+C63+C30+C27+C9+C54+C51+C67+C48</f>
        <v>2051006.18</v>
      </c>
      <c r="D104" s="162">
        <f>D98+D84+D70+D63+D30+D27+D9+D54+D51+D67+D48</f>
        <v>56764</v>
      </c>
      <c r="E104" s="162">
        <f>E98+E84+E70+E63+E30+E27+E9+E54+E51+E67+E48</f>
        <v>1777842.18</v>
      </c>
      <c r="F104" s="162">
        <f>F98+F84+F70+F63+F30+F27+F9+F54+F51+F67+F48</f>
        <v>40000</v>
      </c>
      <c r="G104" s="162">
        <f>G98+G84+G70+G63+G30+G27+G9+G54+G51+G67+G48</f>
        <v>176400</v>
      </c>
      <c r="H104" s="163" t="e">
        <f>H98+H84+H70+H63+H30+H27+H9</f>
        <v>#REF!</v>
      </c>
      <c r="I104" s="163">
        <f>I9++I27+I30+I70+I84+I63+I98</f>
        <v>0</v>
      </c>
      <c r="J104" s="164"/>
      <c r="K104" s="26"/>
    </row>
    <row r="105" spans="1:17" s="170" customFormat="1" ht="14.25" customHeight="1">
      <c r="A105" s="165"/>
      <c r="B105" s="166"/>
      <c r="C105" s="167"/>
      <c r="D105" s="167"/>
      <c r="E105" s="167"/>
      <c r="F105" s="168"/>
      <c r="G105" s="168"/>
      <c r="H105" s="166"/>
      <c r="I105" s="166"/>
      <c r="J105" s="169"/>
      <c r="K105" s="167"/>
      <c r="L105" s="167"/>
      <c r="M105" s="167"/>
      <c r="N105" s="167"/>
      <c r="O105" s="167"/>
      <c r="P105" s="167"/>
      <c r="Q105" s="167"/>
    </row>
    <row r="106" spans="1:17" ht="18.75" customHeight="1">
      <c r="A106" s="171"/>
      <c r="B106" s="171"/>
      <c r="C106" s="172"/>
      <c r="D106" s="539"/>
      <c r="E106" s="539"/>
      <c r="F106" s="173"/>
      <c r="G106" s="174"/>
      <c r="H106" s="171"/>
      <c r="I106" s="175"/>
      <c r="J106" s="176"/>
      <c r="K106" s="171"/>
      <c r="L106" s="171"/>
      <c r="M106" s="171"/>
      <c r="N106" s="171"/>
      <c r="O106" s="171"/>
      <c r="P106" s="171"/>
      <c r="Q106" s="171"/>
    </row>
    <row r="107" spans="1:17" ht="18.75" customHeight="1">
      <c r="A107" s="171"/>
      <c r="B107" s="171"/>
      <c r="C107" s="172"/>
      <c r="D107" s="171"/>
      <c r="E107" s="171"/>
      <c r="F107" s="171"/>
      <c r="G107" s="171"/>
      <c r="H107" s="171"/>
      <c r="I107" s="171"/>
      <c r="J107" s="176"/>
      <c r="K107" s="171"/>
      <c r="L107" s="171"/>
      <c r="M107" s="171"/>
      <c r="N107" s="171"/>
      <c r="O107" s="171"/>
      <c r="P107" s="171"/>
      <c r="Q107" s="171"/>
    </row>
    <row r="108" spans="1:17" ht="18.75" customHeight="1">
      <c r="A108" s="171"/>
      <c r="B108" s="171"/>
      <c r="C108" s="168"/>
      <c r="D108" s="178"/>
      <c r="E108" s="178"/>
      <c r="F108" s="171"/>
      <c r="G108" s="171"/>
      <c r="H108" s="171"/>
      <c r="I108" s="171"/>
      <c r="J108" s="176"/>
      <c r="K108" s="171"/>
      <c r="L108" s="171"/>
      <c r="M108" s="171"/>
      <c r="N108" s="171"/>
      <c r="O108" s="171"/>
      <c r="P108" s="171"/>
      <c r="Q108" s="171"/>
    </row>
  </sheetData>
  <sheetProtection/>
  <mergeCells count="77">
    <mergeCell ref="D106:E106"/>
    <mergeCell ref="A1:J1"/>
    <mergeCell ref="A3:A7"/>
    <mergeCell ref="B3:B7"/>
    <mergeCell ref="C3:C7"/>
    <mergeCell ref="D3:G3"/>
    <mergeCell ref="J3:J7"/>
    <mergeCell ref="D4:D7"/>
    <mergeCell ref="E4:G4"/>
    <mergeCell ref="E5:E7"/>
    <mergeCell ref="F5:F7"/>
    <mergeCell ref="G5:G7"/>
    <mergeCell ref="I5:I7"/>
    <mergeCell ref="A9:B9"/>
    <mergeCell ref="A10:B10"/>
    <mergeCell ref="A30:B30"/>
    <mergeCell ref="A31:B31"/>
    <mergeCell ref="A36:B36"/>
    <mergeCell ref="A70:B70"/>
    <mergeCell ref="A51:B51"/>
    <mergeCell ref="A52:B52"/>
    <mergeCell ref="A67:B67"/>
    <mergeCell ref="A68:B68"/>
    <mergeCell ref="A48:B48"/>
    <mergeCell ref="A49:B49"/>
    <mergeCell ref="J11:J16"/>
    <mergeCell ref="A27:B27"/>
    <mergeCell ref="A28:B28"/>
    <mergeCell ref="J17:J22"/>
    <mergeCell ref="I17:I22"/>
    <mergeCell ref="A24:B24"/>
    <mergeCell ref="J23:J24"/>
    <mergeCell ref="I25:I26"/>
    <mergeCell ref="J25:J26"/>
    <mergeCell ref="A64:B64"/>
    <mergeCell ref="A93:B93"/>
    <mergeCell ref="A75:B75"/>
    <mergeCell ref="A71:B71"/>
    <mergeCell ref="A73:B73"/>
    <mergeCell ref="A84:B84"/>
    <mergeCell ref="A85:B85"/>
    <mergeCell ref="A78:A82"/>
    <mergeCell ref="B78:B82"/>
    <mergeCell ref="J32:J34"/>
    <mergeCell ref="J100:J101"/>
    <mergeCell ref="A61:B61"/>
    <mergeCell ref="A98:B98"/>
    <mergeCell ref="J94:J97"/>
    <mergeCell ref="A54:B54"/>
    <mergeCell ref="A55:B55"/>
    <mergeCell ref="I56:I60"/>
    <mergeCell ref="A99:B99"/>
    <mergeCell ref="A63:B63"/>
    <mergeCell ref="J37:J38"/>
    <mergeCell ref="J39:J40"/>
    <mergeCell ref="J86:J88"/>
    <mergeCell ref="J89:J91"/>
    <mergeCell ref="J42:J46"/>
    <mergeCell ref="A42:A46"/>
    <mergeCell ref="B42:B46"/>
    <mergeCell ref="C42:C46"/>
    <mergeCell ref="D42:G42"/>
    <mergeCell ref="D43:D46"/>
    <mergeCell ref="E43:G43"/>
    <mergeCell ref="E44:E46"/>
    <mergeCell ref="F44:F46"/>
    <mergeCell ref="G44:G46"/>
    <mergeCell ref="I44:I46"/>
    <mergeCell ref="C78:C82"/>
    <mergeCell ref="D78:G78"/>
    <mergeCell ref="J78:J82"/>
    <mergeCell ref="D79:D82"/>
    <mergeCell ref="E79:G79"/>
    <mergeCell ref="E80:E82"/>
    <mergeCell ref="F80:F82"/>
    <mergeCell ref="G80:G82"/>
    <mergeCell ref="I80:I82"/>
  </mergeCells>
  <printOptions horizontalCentered="1"/>
  <pageMargins left="0.17" right="0.26" top="0.68" bottom="0.33" header="0.15748031496062992" footer="0.15748031496062992"/>
  <pageSetup fitToHeight="2" horizontalDpi="600" verticalDpi="600" orientation="landscape" paperSize="9" scale="70" r:id="rId1"/>
  <headerFooter alignWithMargins="0">
    <oddHeader>&amp;R&amp;"Arial,Pogrubiony"&amp;9Załącznik Nr 3&amp;"Arial,Normalny"
do Uchwały Nr XXVIII/177/2012 
Rady Gminy Miłkowice
z dnia 28 grudnia 2012r.</oddHeader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N75"/>
  <sheetViews>
    <sheetView zoomScale="80" zoomScaleNormal="80" workbookViewId="0" topLeftCell="A1">
      <selection activeCell="E67" sqref="E67"/>
    </sheetView>
  </sheetViews>
  <sheetFormatPr defaultColWidth="9.33203125" defaultRowHeight="12.75"/>
  <cols>
    <col min="1" max="1" width="4" style="182" customWidth="1"/>
    <col min="2" max="2" width="17.66015625" style="182" customWidth="1"/>
    <col min="3" max="3" width="22.66015625" style="182" customWidth="1"/>
    <col min="4" max="4" width="49.83203125" style="182" customWidth="1"/>
    <col min="5" max="5" width="16.83203125" style="182" customWidth="1"/>
    <col min="6" max="28" width="10.16015625" style="182" hidden="1" customWidth="1"/>
    <col min="29" max="29" width="14.5" style="182" hidden="1" customWidth="1"/>
    <col min="30" max="30" width="16.66015625" style="182" hidden="1" customWidth="1"/>
    <col min="31" max="40" width="10" style="182" hidden="1" customWidth="1"/>
    <col min="41" max="16384" width="10" style="182" customWidth="1"/>
  </cols>
  <sheetData>
    <row r="1" ht="6" customHeight="1"/>
    <row r="2" spans="1:29" ht="25.5" customHeight="1">
      <c r="A2" s="541" t="s">
        <v>154</v>
      </c>
      <c r="B2" s="541"/>
      <c r="C2" s="541"/>
      <c r="D2" s="541"/>
      <c r="E2" s="541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</row>
    <row r="3" spans="1:29" ht="12.75" customHeight="1" thickBot="1">
      <c r="A3" s="184"/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</row>
    <row r="4" spans="1:40" ht="71.25" customHeight="1" thickBot="1">
      <c r="A4" s="185" t="s">
        <v>41</v>
      </c>
      <c r="B4" s="186" t="s">
        <v>155</v>
      </c>
      <c r="C4" s="186" t="s">
        <v>156</v>
      </c>
      <c r="D4" s="186" t="s">
        <v>157</v>
      </c>
      <c r="E4" s="186" t="s">
        <v>158</v>
      </c>
      <c r="F4" s="187" t="s">
        <v>159</v>
      </c>
      <c r="G4" s="187" t="s">
        <v>160</v>
      </c>
      <c r="H4" s="187" t="s">
        <v>161</v>
      </c>
      <c r="I4" s="187" t="s">
        <v>162</v>
      </c>
      <c r="J4" s="187" t="s">
        <v>163</v>
      </c>
      <c r="K4" s="187" t="s">
        <v>164</v>
      </c>
      <c r="L4" s="187" t="s">
        <v>165</v>
      </c>
      <c r="M4" s="187" t="s">
        <v>166</v>
      </c>
      <c r="N4" s="187" t="s">
        <v>167</v>
      </c>
      <c r="O4" s="187" t="s">
        <v>168</v>
      </c>
      <c r="P4" s="187" t="s">
        <v>169</v>
      </c>
      <c r="Q4" s="187" t="s">
        <v>170</v>
      </c>
      <c r="R4" s="187" t="s">
        <v>171</v>
      </c>
      <c r="S4" s="187" t="s">
        <v>172</v>
      </c>
      <c r="T4" s="187" t="s">
        <v>173</v>
      </c>
      <c r="U4" s="187" t="s">
        <v>174</v>
      </c>
      <c r="V4" s="187" t="s">
        <v>175</v>
      </c>
      <c r="W4" s="187" t="s">
        <v>176</v>
      </c>
      <c r="X4" s="187" t="s">
        <v>177</v>
      </c>
      <c r="Y4" s="187" t="s">
        <v>178</v>
      </c>
      <c r="Z4" s="187" t="s">
        <v>179</v>
      </c>
      <c r="AA4" s="187" t="s">
        <v>180</v>
      </c>
      <c r="AB4" s="187" t="s">
        <v>181</v>
      </c>
      <c r="AC4" s="188" t="s">
        <v>182</v>
      </c>
      <c r="AD4" s="189"/>
      <c r="AF4" s="190"/>
      <c r="AG4" s="191" t="s">
        <v>183</v>
      </c>
      <c r="AH4" s="190">
        <v>60016</v>
      </c>
      <c r="AI4" s="190">
        <v>75412</v>
      </c>
      <c r="AJ4" s="190">
        <v>90004</v>
      </c>
      <c r="AK4" s="190">
        <v>90008</v>
      </c>
      <c r="AL4" s="190">
        <v>92109</v>
      </c>
      <c r="AM4" s="190">
        <v>92195</v>
      </c>
      <c r="AN4" s="190"/>
    </row>
    <row r="5" spans="1:40" ht="29.25" customHeight="1" thickBot="1">
      <c r="A5" s="192">
        <v>1</v>
      </c>
      <c r="B5" s="193" t="s">
        <v>184</v>
      </c>
      <c r="C5" s="194">
        <v>6157</v>
      </c>
      <c r="D5" s="195" t="s">
        <v>185</v>
      </c>
      <c r="E5" s="196">
        <f aca="true" t="shared" si="0" ref="E5:E34">AC5</f>
        <v>6157</v>
      </c>
      <c r="F5" s="196"/>
      <c r="G5" s="196"/>
      <c r="H5" s="196"/>
      <c r="I5" s="196">
        <v>6157</v>
      </c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7">
        <f aca="true" t="shared" si="1" ref="AC5:AC34">SUM(F5:Y5)</f>
        <v>6157</v>
      </c>
      <c r="AD5" s="198">
        <f>AC5</f>
        <v>6157</v>
      </c>
      <c r="AF5" s="190"/>
      <c r="AG5" s="191"/>
      <c r="AH5" s="190"/>
      <c r="AI5" s="190"/>
      <c r="AJ5" s="190"/>
      <c r="AK5" s="190"/>
      <c r="AL5" s="190"/>
      <c r="AM5" s="190"/>
      <c r="AN5" s="190"/>
    </row>
    <row r="6" spans="1:40" ht="23.25" customHeight="1" thickBot="1">
      <c r="A6" s="555">
        <v>2</v>
      </c>
      <c r="B6" s="557" t="s">
        <v>186</v>
      </c>
      <c r="C6" s="551">
        <v>7049</v>
      </c>
      <c r="D6" s="201" t="s">
        <v>187</v>
      </c>
      <c r="E6" s="202">
        <f t="shared" si="0"/>
        <v>4500</v>
      </c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>
        <v>4500</v>
      </c>
      <c r="Y6" s="202"/>
      <c r="Z6" s="202"/>
      <c r="AA6" s="202"/>
      <c r="AB6" s="202"/>
      <c r="AC6" s="197">
        <f t="shared" si="1"/>
        <v>4500</v>
      </c>
      <c r="AD6" s="571">
        <f>AC6+AC7</f>
        <v>6500</v>
      </c>
      <c r="AF6" s="190">
        <v>4210</v>
      </c>
      <c r="AG6" s="191"/>
      <c r="AH6" s="190"/>
      <c r="AI6" s="190">
        <f>1500</f>
        <v>1500</v>
      </c>
      <c r="AJ6" s="190">
        <f>2000+500+500-2000</f>
        <v>1000</v>
      </c>
      <c r="AK6" s="190">
        <f>128+1000</f>
        <v>1128</v>
      </c>
      <c r="AL6" s="190">
        <f>2157+2783+1200+500+1500+2000+7000+200</f>
        <v>17340</v>
      </c>
      <c r="AM6" s="190">
        <f>1900+1000+2500+1500+1500</f>
        <v>8400</v>
      </c>
      <c r="AN6" s="190"/>
    </row>
    <row r="7" spans="1:40" ht="28.5" customHeight="1" thickBot="1">
      <c r="A7" s="555"/>
      <c r="B7" s="557"/>
      <c r="C7" s="551"/>
      <c r="D7" s="203" t="s">
        <v>188</v>
      </c>
      <c r="E7" s="204">
        <f t="shared" si="0"/>
        <v>2000</v>
      </c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>
        <v>2000</v>
      </c>
      <c r="X7" s="204"/>
      <c r="Y7" s="204"/>
      <c r="Z7" s="204"/>
      <c r="AA7" s="204"/>
      <c r="AB7" s="204"/>
      <c r="AC7" s="205">
        <f t="shared" si="1"/>
        <v>2000</v>
      </c>
      <c r="AD7" s="572"/>
      <c r="AF7" s="190">
        <v>4300</v>
      </c>
      <c r="AG7" s="190">
        <f>4000</f>
        <v>4000</v>
      </c>
      <c r="AH7" s="190">
        <f>4500+2197+2000</f>
        <v>8697</v>
      </c>
      <c r="AI7" s="190"/>
      <c r="AJ7" s="190"/>
      <c r="AK7" s="190"/>
      <c r="AL7" s="190"/>
      <c r="AM7" s="190">
        <f>3000+1000+2000+1000+1500+1000+1300+1100+1000</f>
        <v>12900</v>
      </c>
      <c r="AN7" s="190"/>
    </row>
    <row r="8" spans="1:40" ht="32.25" customHeight="1" thickBot="1">
      <c r="A8" s="555">
        <v>3</v>
      </c>
      <c r="B8" s="557" t="s">
        <v>189</v>
      </c>
      <c r="C8" s="551">
        <v>12660</v>
      </c>
      <c r="D8" s="206" t="s">
        <v>190</v>
      </c>
      <c r="E8" s="202">
        <f t="shared" si="0"/>
        <v>2000</v>
      </c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>
        <v>2000</v>
      </c>
      <c r="S8" s="202"/>
      <c r="T8" s="202"/>
      <c r="U8" s="202"/>
      <c r="V8" s="202"/>
      <c r="W8" s="202"/>
      <c r="X8" s="202"/>
      <c r="Y8" s="202"/>
      <c r="Z8" s="202"/>
      <c r="AA8" s="202"/>
      <c r="AB8" s="202"/>
      <c r="AC8" s="197">
        <f t="shared" si="1"/>
        <v>2000</v>
      </c>
      <c r="AD8" s="571">
        <f>AC8+AC9+AC10+AC11</f>
        <v>12660</v>
      </c>
      <c r="AF8" s="207" t="s">
        <v>191</v>
      </c>
      <c r="AG8" s="207">
        <f aca="true" t="shared" si="2" ref="AG8:AM8">SUM(AG6:AG7)</f>
        <v>4000</v>
      </c>
      <c r="AH8" s="207">
        <f t="shared" si="2"/>
        <v>8697</v>
      </c>
      <c r="AI8" s="207">
        <f t="shared" si="2"/>
        <v>1500</v>
      </c>
      <c r="AJ8" s="207">
        <f t="shared" si="2"/>
        <v>1000</v>
      </c>
      <c r="AK8" s="207">
        <f t="shared" si="2"/>
        <v>1128</v>
      </c>
      <c r="AL8" s="207">
        <f t="shared" si="2"/>
        <v>17340</v>
      </c>
      <c r="AM8" s="207">
        <f t="shared" si="2"/>
        <v>21300</v>
      </c>
      <c r="AN8" s="207">
        <f aca="true" t="shared" si="3" ref="AN8:AN15">SUM(AG8:AM8)</f>
        <v>54965</v>
      </c>
    </row>
    <row r="9" spans="1:40" ht="19.5" customHeight="1" thickBot="1">
      <c r="A9" s="555"/>
      <c r="B9" s="557"/>
      <c r="C9" s="551"/>
      <c r="D9" s="208" t="s">
        <v>192</v>
      </c>
      <c r="E9" s="209">
        <f t="shared" si="0"/>
        <v>2000</v>
      </c>
      <c r="F9" s="209"/>
      <c r="G9" s="209"/>
      <c r="H9" s="209"/>
      <c r="I9" s="209"/>
      <c r="J9" s="209"/>
      <c r="K9" s="209"/>
      <c r="L9" s="209"/>
      <c r="M9" s="209"/>
      <c r="N9" s="209"/>
      <c r="O9" s="209">
        <v>2000</v>
      </c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209"/>
      <c r="AA9" s="209"/>
      <c r="AB9" s="209"/>
      <c r="AC9" s="210">
        <f t="shared" si="1"/>
        <v>2000</v>
      </c>
      <c r="AD9" s="572"/>
      <c r="AF9" s="190">
        <v>6050</v>
      </c>
      <c r="AG9" s="190"/>
      <c r="AH9" s="190">
        <f>3500+17231</f>
        <v>20731</v>
      </c>
      <c r="AI9" s="190">
        <v>3700</v>
      </c>
      <c r="AJ9" s="190">
        <f>5500+8500</f>
        <v>14000</v>
      </c>
      <c r="AK9" s="190"/>
      <c r="AL9" s="190">
        <f>4000+6199+5400+6075+18200+7240+5095-200-75</f>
        <v>51934</v>
      </c>
      <c r="AM9" s="190">
        <f>4000+7000+4200+5000-7000</f>
        <v>13200</v>
      </c>
      <c r="AN9" s="190">
        <f t="shared" si="3"/>
        <v>103565</v>
      </c>
    </row>
    <row r="10" spans="1:40" ht="18.75" customHeight="1" thickBot="1">
      <c r="A10" s="555"/>
      <c r="B10" s="557"/>
      <c r="C10" s="551"/>
      <c r="D10" s="208" t="s">
        <v>193</v>
      </c>
      <c r="E10" s="209">
        <f t="shared" si="0"/>
        <v>660</v>
      </c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>
        <v>660</v>
      </c>
      <c r="W10" s="209"/>
      <c r="X10" s="209"/>
      <c r="Y10" s="209"/>
      <c r="Z10" s="209"/>
      <c r="AA10" s="209"/>
      <c r="AB10" s="209"/>
      <c r="AC10" s="210">
        <f t="shared" si="1"/>
        <v>660</v>
      </c>
      <c r="AD10" s="572"/>
      <c r="AF10" s="190">
        <v>6050</v>
      </c>
      <c r="AG10" s="190"/>
      <c r="AH10" s="190">
        <f>3500+17231</f>
        <v>20731</v>
      </c>
      <c r="AI10" s="190">
        <v>3700</v>
      </c>
      <c r="AJ10" s="190">
        <f>5500+8500</f>
        <v>14000</v>
      </c>
      <c r="AK10" s="190"/>
      <c r="AL10" s="190">
        <f>4000+6199+5400+6075+18200+7240+5095-200-75</f>
        <v>51934</v>
      </c>
      <c r="AM10" s="190">
        <f>4000+7000+4200+5000-7000</f>
        <v>13200</v>
      </c>
      <c r="AN10" s="190">
        <f t="shared" si="3"/>
        <v>103565</v>
      </c>
    </row>
    <row r="11" spans="1:40" ht="28.5" customHeight="1" thickBot="1">
      <c r="A11" s="555"/>
      <c r="B11" s="557"/>
      <c r="C11" s="551"/>
      <c r="D11" s="203" t="s">
        <v>194</v>
      </c>
      <c r="E11" s="204">
        <f t="shared" si="0"/>
        <v>8000</v>
      </c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204"/>
      <c r="V11" s="204"/>
      <c r="W11" s="204"/>
      <c r="X11" s="204">
        <v>8000</v>
      </c>
      <c r="Y11" s="204"/>
      <c r="Z11" s="204"/>
      <c r="AA11" s="204"/>
      <c r="AB11" s="204"/>
      <c r="AC11" s="211">
        <f t="shared" si="1"/>
        <v>8000</v>
      </c>
      <c r="AD11" s="572"/>
      <c r="AF11" s="207" t="s">
        <v>195</v>
      </c>
      <c r="AG11" s="207">
        <f aca="true" t="shared" si="4" ref="AG11:AM11">SUM(AG8:AG9)</f>
        <v>4000</v>
      </c>
      <c r="AH11" s="207">
        <f t="shared" si="4"/>
        <v>29428</v>
      </c>
      <c r="AI11" s="207">
        <f t="shared" si="4"/>
        <v>5200</v>
      </c>
      <c r="AJ11" s="207">
        <f t="shared" si="4"/>
        <v>15000</v>
      </c>
      <c r="AK11" s="207">
        <f t="shared" si="4"/>
        <v>1128</v>
      </c>
      <c r="AL11" s="207">
        <f t="shared" si="4"/>
        <v>69274</v>
      </c>
      <c r="AM11" s="207">
        <f t="shared" si="4"/>
        <v>34500</v>
      </c>
      <c r="AN11" s="207">
        <f t="shared" si="3"/>
        <v>158530</v>
      </c>
    </row>
    <row r="12" spans="1:40" ht="28.5" customHeight="1" thickBot="1">
      <c r="A12" s="555">
        <v>3</v>
      </c>
      <c r="B12" s="557" t="s">
        <v>196</v>
      </c>
      <c r="C12" s="551">
        <v>6533</v>
      </c>
      <c r="D12" s="208" t="s">
        <v>197</v>
      </c>
      <c r="E12" s="202">
        <f t="shared" si="0"/>
        <v>2500</v>
      </c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2"/>
      <c r="R12" s="202"/>
      <c r="S12" s="202"/>
      <c r="T12" s="202"/>
      <c r="U12" s="202"/>
      <c r="V12" s="202"/>
      <c r="W12" s="202">
        <v>2500</v>
      </c>
      <c r="X12" s="202"/>
      <c r="Y12" s="202"/>
      <c r="Z12" s="202"/>
      <c r="AA12" s="202"/>
      <c r="AB12" s="202"/>
      <c r="AC12" s="197">
        <f t="shared" si="1"/>
        <v>2500</v>
      </c>
      <c r="AD12" s="571">
        <f>AC12+AC13+AC14+AC15</f>
        <v>6533</v>
      </c>
      <c r="AF12" s="207" t="s">
        <v>191</v>
      </c>
      <c r="AG12" s="207">
        <f aca="true" t="shared" si="5" ref="AG12:AM12">SUM(AG10:AG11)</f>
        <v>4000</v>
      </c>
      <c r="AH12" s="207">
        <f t="shared" si="5"/>
        <v>50159</v>
      </c>
      <c r="AI12" s="207">
        <f t="shared" si="5"/>
        <v>8900</v>
      </c>
      <c r="AJ12" s="207">
        <f t="shared" si="5"/>
        <v>29000</v>
      </c>
      <c r="AK12" s="207">
        <f t="shared" si="5"/>
        <v>1128</v>
      </c>
      <c r="AL12" s="207">
        <f t="shared" si="5"/>
        <v>121208</v>
      </c>
      <c r="AM12" s="207">
        <f t="shared" si="5"/>
        <v>47700</v>
      </c>
      <c r="AN12" s="207">
        <f t="shared" si="3"/>
        <v>262095</v>
      </c>
    </row>
    <row r="13" spans="1:40" ht="19.5" customHeight="1" thickBot="1">
      <c r="A13" s="555"/>
      <c r="B13" s="557"/>
      <c r="C13" s="551"/>
      <c r="D13" s="208" t="s">
        <v>198</v>
      </c>
      <c r="E13" s="209">
        <f t="shared" si="0"/>
        <v>1500</v>
      </c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>
        <v>1500</v>
      </c>
      <c r="W13" s="209"/>
      <c r="X13" s="209"/>
      <c r="Y13" s="209"/>
      <c r="Z13" s="209"/>
      <c r="AA13" s="209"/>
      <c r="AB13" s="209"/>
      <c r="AC13" s="210">
        <f t="shared" si="1"/>
        <v>1500</v>
      </c>
      <c r="AD13" s="572"/>
      <c r="AF13" s="190">
        <v>6050</v>
      </c>
      <c r="AG13" s="190"/>
      <c r="AH13" s="190">
        <f>3500+17231</f>
        <v>20731</v>
      </c>
      <c r="AI13" s="190">
        <v>3700</v>
      </c>
      <c r="AJ13" s="190">
        <f>5500+8500</f>
        <v>14000</v>
      </c>
      <c r="AK13" s="190"/>
      <c r="AL13" s="190">
        <f>4000+6199+5400+6075+18200+7240+5095-200-75</f>
        <v>51934</v>
      </c>
      <c r="AM13" s="190">
        <f>4000+7000+4200+5000-7000</f>
        <v>13200</v>
      </c>
      <c r="AN13" s="190">
        <f t="shared" si="3"/>
        <v>103565</v>
      </c>
    </row>
    <row r="14" spans="1:40" ht="18.75" customHeight="1" thickBot="1">
      <c r="A14" s="555"/>
      <c r="B14" s="557"/>
      <c r="C14" s="551"/>
      <c r="D14" s="212" t="s">
        <v>199</v>
      </c>
      <c r="E14" s="209">
        <f t="shared" si="0"/>
        <v>533</v>
      </c>
      <c r="F14" s="209"/>
      <c r="G14" s="209"/>
      <c r="H14" s="209">
        <v>533</v>
      </c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209"/>
      <c r="U14" s="209"/>
      <c r="V14" s="209"/>
      <c r="W14" s="209"/>
      <c r="X14" s="209"/>
      <c r="Y14" s="209"/>
      <c r="Z14" s="209"/>
      <c r="AA14" s="209"/>
      <c r="AB14" s="209"/>
      <c r="AC14" s="210">
        <f t="shared" si="1"/>
        <v>533</v>
      </c>
      <c r="AD14" s="572"/>
      <c r="AF14" s="190">
        <v>6050</v>
      </c>
      <c r="AG14" s="190"/>
      <c r="AH14" s="190">
        <f>3500+17231</f>
        <v>20731</v>
      </c>
      <c r="AI14" s="190">
        <v>3700</v>
      </c>
      <c r="AJ14" s="190">
        <f>5500+8500</f>
        <v>14000</v>
      </c>
      <c r="AK14" s="190"/>
      <c r="AL14" s="190">
        <f>4000+6199+5400+6075+18200+7240+5095-200-75</f>
        <v>51934</v>
      </c>
      <c r="AM14" s="190">
        <f>4000+7000+4200+5000-7000</f>
        <v>13200</v>
      </c>
      <c r="AN14" s="190">
        <f t="shared" si="3"/>
        <v>103565</v>
      </c>
    </row>
    <row r="15" spans="1:40" ht="22.5" customHeight="1" thickBot="1">
      <c r="A15" s="555"/>
      <c r="B15" s="557"/>
      <c r="C15" s="551"/>
      <c r="D15" s="203" t="s">
        <v>200</v>
      </c>
      <c r="E15" s="204">
        <f t="shared" si="0"/>
        <v>2000</v>
      </c>
      <c r="F15" s="204"/>
      <c r="G15" s="204"/>
      <c r="H15" s="204"/>
      <c r="I15" s="204"/>
      <c r="J15" s="204"/>
      <c r="K15" s="204"/>
      <c r="L15" s="204"/>
      <c r="M15" s="204"/>
      <c r="N15" s="204"/>
      <c r="O15" s="204"/>
      <c r="P15" s="204"/>
      <c r="Q15" s="204"/>
      <c r="R15" s="204"/>
      <c r="S15" s="204"/>
      <c r="T15" s="204">
        <v>2000</v>
      </c>
      <c r="U15" s="204"/>
      <c r="V15" s="204"/>
      <c r="W15" s="204"/>
      <c r="X15" s="204"/>
      <c r="Y15" s="204"/>
      <c r="Z15" s="204"/>
      <c r="AA15" s="204"/>
      <c r="AB15" s="204"/>
      <c r="AC15" s="211">
        <f t="shared" si="1"/>
        <v>2000</v>
      </c>
      <c r="AD15" s="572"/>
      <c r="AF15" s="207" t="s">
        <v>195</v>
      </c>
      <c r="AG15" s="207">
        <f aca="true" t="shared" si="6" ref="AG15:AM15">SUM(AG12:AG13)</f>
        <v>4000</v>
      </c>
      <c r="AH15" s="207">
        <f t="shared" si="6"/>
        <v>70890</v>
      </c>
      <c r="AI15" s="207">
        <f t="shared" si="6"/>
        <v>12600</v>
      </c>
      <c r="AJ15" s="207">
        <f t="shared" si="6"/>
        <v>43000</v>
      </c>
      <c r="AK15" s="207">
        <f t="shared" si="6"/>
        <v>1128</v>
      </c>
      <c r="AL15" s="207">
        <f t="shared" si="6"/>
        <v>173142</v>
      </c>
      <c r="AM15" s="207">
        <f t="shared" si="6"/>
        <v>60900</v>
      </c>
      <c r="AN15" s="207">
        <f t="shared" si="3"/>
        <v>365660</v>
      </c>
    </row>
    <row r="16" spans="1:40" ht="18" customHeight="1" thickBot="1">
      <c r="A16" s="555">
        <v>5</v>
      </c>
      <c r="B16" s="557" t="s">
        <v>201</v>
      </c>
      <c r="C16" s="551">
        <v>17525</v>
      </c>
      <c r="D16" s="206" t="s">
        <v>202</v>
      </c>
      <c r="E16" s="202">
        <f t="shared" si="0"/>
        <v>600</v>
      </c>
      <c r="F16" s="202"/>
      <c r="G16" s="202"/>
      <c r="H16" s="202"/>
      <c r="I16" s="202"/>
      <c r="J16" s="202"/>
      <c r="K16" s="202"/>
      <c r="L16" s="202"/>
      <c r="M16" s="202"/>
      <c r="N16" s="202"/>
      <c r="O16" s="202"/>
      <c r="P16" s="202"/>
      <c r="Q16" s="202"/>
      <c r="R16" s="202"/>
      <c r="S16" s="202"/>
      <c r="T16" s="202"/>
      <c r="U16" s="202"/>
      <c r="V16" s="202">
        <v>600</v>
      </c>
      <c r="W16" s="202"/>
      <c r="X16" s="202"/>
      <c r="Y16" s="202"/>
      <c r="Z16" s="202"/>
      <c r="AA16" s="202"/>
      <c r="AB16" s="202"/>
      <c r="AC16" s="197">
        <f t="shared" si="1"/>
        <v>600</v>
      </c>
      <c r="AD16" s="573">
        <f>AC16+AC17+AC18+AC19+AC20</f>
        <v>17525</v>
      </c>
      <c r="AN16" s="182" t="e">
        <f>#REF!-AN11</f>
        <v>#REF!</v>
      </c>
    </row>
    <row r="17" spans="1:30" ht="18" customHeight="1" thickBot="1">
      <c r="A17" s="555"/>
      <c r="B17" s="557"/>
      <c r="C17" s="551"/>
      <c r="D17" s="208" t="s">
        <v>203</v>
      </c>
      <c r="E17" s="209">
        <f t="shared" si="0"/>
        <v>600</v>
      </c>
      <c r="F17" s="213"/>
      <c r="G17" s="209"/>
      <c r="H17" s="209"/>
      <c r="I17" s="209"/>
      <c r="J17" s="209"/>
      <c r="K17" s="209"/>
      <c r="L17" s="209"/>
      <c r="M17" s="209"/>
      <c r="N17" s="209"/>
      <c r="O17" s="209">
        <v>600</v>
      </c>
      <c r="P17" s="209"/>
      <c r="Q17" s="209"/>
      <c r="R17" s="209"/>
      <c r="S17" s="209"/>
      <c r="T17" s="209"/>
      <c r="U17" s="209"/>
      <c r="V17" s="209"/>
      <c r="W17" s="209"/>
      <c r="X17" s="213"/>
      <c r="Y17" s="209"/>
      <c r="Z17" s="209"/>
      <c r="AA17" s="209"/>
      <c r="AB17" s="209"/>
      <c r="AC17" s="214">
        <f t="shared" si="1"/>
        <v>600</v>
      </c>
      <c r="AD17" s="574"/>
    </row>
    <row r="18" spans="1:30" ht="27" customHeight="1" thickBot="1">
      <c r="A18" s="555"/>
      <c r="B18" s="557"/>
      <c r="C18" s="551"/>
      <c r="D18" s="208" t="s">
        <v>204</v>
      </c>
      <c r="E18" s="209">
        <f t="shared" si="0"/>
        <v>2000</v>
      </c>
      <c r="F18" s="215"/>
      <c r="G18" s="209"/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>
        <v>2000</v>
      </c>
      <c r="X18" s="215"/>
      <c r="Y18" s="209"/>
      <c r="Z18" s="209"/>
      <c r="AA18" s="209"/>
      <c r="AB18" s="209"/>
      <c r="AC18" s="214">
        <f t="shared" si="1"/>
        <v>2000</v>
      </c>
      <c r="AD18" s="574"/>
    </row>
    <row r="19" spans="1:30" ht="20.25" customHeight="1" thickBot="1">
      <c r="A19" s="555"/>
      <c r="B19" s="557"/>
      <c r="C19" s="551"/>
      <c r="D19" s="216" t="s">
        <v>205</v>
      </c>
      <c r="E19" s="209">
        <f t="shared" si="0"/>
        <v>500</v>
      </c>
      <c r="F19" s="213"/>
      <c r="G19" s="217"/>
      <c r="H19" s="217"/>
      <c r="I19" s="217"/>
      <c r="J19" s="217"/>
      <c r="K19" s="217"/>
      <c r="L19" s="217"/>
      <c r="M19" s="217">
        <v>500</v>
      </c>
      <c r="N19" s="217"/>
      <c r="O19" s="217"/>
      <c r="P19" s="217"/>
      <c r="Q19" s="217"/>
      <c r="R19" s="217"/>
      <c r="S19" s="217"/>
      <c r="T19" s="217"/>
      <c r="U19" s="217"/>
      <c r="V19" s="217"/>
      <c r="W19" s="217"/>
      <c r="X19" s="213"/>
      <c r="Y19" s="217"/>
      <c r="Z19" s="217"/>
      <c r="AA19" s="217"/>
      <c r="AB19" s="217"/>
      <c r="AC19" s="214">
        <f t="shared" si="1"/>
        <v>500</v>
      </c>
      <c r="AD19" s="574"/>
    </row>
    <row r="20" spans="1:30" ht="20.25" customHeight="1" thickBot="1">
      <c r="A20" s="555"/>
      <c r="B20" s="557"/>
      <c r="C20" s="551"/>
      <c r="D20" s="218" t="s">
        <v>206</v>
      </c>
      <c r="E20" s="204">
        <f t="shared" si="0"/>
        <v>13825</v>
      </c>
      <c r="F20" s="204"/>
      <c r="G20" s="204"/>
      <c r="H20" s="204"/>
      <c r="I20" s="204"/>
      <c r="J20" s="204"/>
      <c r="K20" s="204"/>
      <c r="L20" s="204"/>
      <c r="M20" s="204"/>
      <c r="N20" s="204"/>
      <c r="O20" s="204"/>
      <c r="P20" s="204"/>
      <c r="Q20" s="204"/>
      <c r="R20" s="204"/>
      <c r="S20" s="204"/>
      <c r="T20" s="204">
        <v>13825</v>
      </c>
      <c r="U20" s="204"/>
      <c r="V20" s="204"/>
      <c r="W20" s="204"/>
      <c r="X20" s="204"/>
      <c r="Y20" s="204"/>
      <c r="Z20" s="204"/>
      <c r="AA20" s="204"/>
      <c r="AB20" s="204"/>
      <c r="AC20" s="219">
        <f t="shared" si="1"/>
        <v>13825</v>
      </c>
      <c r="AD20" s="575"/>
    </row>
    <row r="21" spans="1:30" ht="23.25" customHeight="1" thickBot="1">
      <c r="A21" s="555">
        <v>6</v>
      </c>
      <c r="B21" s="557" t="s">
        <v>207</v>
      </c>
      <c r="C21" s="551">
        <v>11601</v>
      </c>
      <c r="D21" s="206" t="s">
        <v>208</v>
      </c>
      <c r="E21" s="202">
        <f t="shared" si="0"/>
        <v>601</v>
      </c>
      <c r="F21" s="202"/>
      <c r="G21" s="202"/>
      <c r="H21" s="202"/>
      <c r="I21" s="202"/>
      <c r="J21" s="202">
        <v>601</v>
      </c>
      <c r="K21" s="202"/>
      <c r="L21" s="202"/>
      <c r="M21" s="202"/>
      <c r="N21" s="202"/>
      <c r="O21" s="202"/>
      <c r="P21" s="202"/>
      <c r="Q21" s="202"/>
      <c r="R21" s="202"/>
      <c r="S21" s="202"/>
      <c r="T21" s="202"/>
      <c r="U21" s="202"/>
      <c r="V21" s="202"/>
      <c r="W21" s="202"/>
      <c r="X21" s="202"/>
      <c r="Y21" s="202"/>
      <c r="Z21" s="202"/>
      <c r="AA21" s="202"/>
      <c r="AB21" s="202"/>
      <c r="AC21" s="197">
        <f t="shared" si="1"/>
        <v>601</v>
      </c>
      <c r="AD21" s="573">
        <f>AC21+AC22+AC23</f>
        <v>11601</v>
      </c>
    </row>
    <row r="22" spans="1:30" ht="27" customHeight="1" thickBot="1">
      <c r="A22" s="555"/>
      <c r="B22" s="557"/>
      <c r="C22" s="551"/>
      <c r="D22" s="208" t="s">
        <v>209</v>
      </c>
      <c r="E22" s="209">
        <f t="shared" si="0"/>
        <v>4000</v>
      </c>
      <c r="F22" s="209"/>
      <c r="G22" s="209"/>
      <c r="H22" s="209"/>
      <c r="I22" s="209"/>
      <c r="J22" s="209"/>
      <c r="K22" s="209"/>
      <c r="L22" s="209"/>
      <c r="M22" s="209"/>
      <c r="N22" s="209"/>
      <c r="O22" s="209"/>
      <c r="P22" s="209"/>
      <c r="Q22" s="209"/>
      <c r="R22" s="209"/>
      <c r="S22" s="209"/>
      <c r="T22" s="209"/>
      <c r="U22" s="209"/>
      <c r="V22" s="209">
        <v>1500</v>
      </c>
      <c r="W22" s="209">
        <v>2500</v>
      </c>
      <c r="X22" s="209"/>
      <c r="Y22" s="209"/>
      <c r="Z22" s="209"/>
      <c r="AA22" s="209"/>
      <c r="AB22" s="209"/>
      <c r="AC22" s="214">
        <f t="shared" si="1"/>
        <v>4000</v>
      </c>
      <c r="AD22" s="574"/>
    </row>
    <row r="23" spans="1:30" ht="23.25" customHeight="1" thickBot="1">
      <c r="A23" s="568"/>
      <c r="B23" s="569"/>
      <c r="C23" s="570"/>
      <c r="D23" s="220" t="s">
        <v>210</v>
      </c>
      <c r="E23" s="221">
        <f t="shared" si="0"/>
        <v>7000</v>
      </c>
      <c r="F23" s="221"/>
      <c r="G23" s="221"/>
      <c r="H23" s="221"/>
      <c r="I23" s="221"/>
      <c r="J23" s="221"/>
      <c r="K23" s="221"/>
      <c r="L23" s="221"/>
      <c r="M23" s="221"/>
      <c r="N23" s="221"/>
      <c r="O23" s="221"/>
      <c r="P23" s="221"/>
      <c r="Q23" s="221"/>
      <c r="R23" s="221"/>
      <c r="S23" s="221"/>
      <c r="T23" s="221">
        <v>7000</v>
      </c>
      <c r="U23" s="221"/>
      <c r="V23" s="221"/>
      <c r="W23" s="221"/>
      <c r="X23" s="221"/>
      <c r="Y23" s="221"/>
      <c r="Z23" s="221"/>
      <c r="AA23" s="221"/>
      <c r="AB23" s="221"/>
      <c r="AC23" s="211">
        <f t="shared" si="1"/>
        <v>7000</v>
      </c>
      <c r="AD23" s="575"/>
    </row>
    <row r="24" spans="1:30" ht="27.75" customHeight="1" thickBot="1">
      <c r="A24" s="222">
        <v>7</v>
      </c>
      <c r="B24" s="223" t="s">
        <v>211</v>
      </c>
      <c r="C24" s="224">
        <v>7704</v>
      </c>
      <c r="D24" s="225" t="s">
        <v>212</v>
      </c>
      <c r="E24" s="224">
        <f t="shared" si="0"/>
        <v>5000</v>
      </c>
      <c r="F24" s="224">
        <v>5000</v>
      </c>
      <c r="G24" s="224"/>
      <c r="H24" s="224"/>
      <c r="I24" s="224"/>
      <c r="J24" s="224"/>
      <c r="K24" s="224"/>
      <c r="L24" s="224"/>
      <c r="M24" s="224"/>
      <c r="N24" s="224"/>
      <c r="O24" s="224"/>
      <c r="P24" s="224"/>
      <c r="Q24" s="224"/>
      <c r="R24" s="224"/>
      <c r="S24" s="224"/>
      <c r="T24" s="224"/>
      <c r="U24" s="224"/>
      <c r="V24" s="224"/>
      <c r="W24" s="224"/>
      <c r="X24" s="224"/>
      <c r="Y24" s="224"/>
      <c r="Z24" s="224"/>
      <c r="AA24" s="224"/>
      <c r="AB24" s="224"/>
      <c r="AC24" s="226">
        <f t="shared" si="1"/>
        <v>5000</v>
      </c>
      <c r="AD24" s="227">
        <f>AC24</f>
        <v>5000</v>
      </c>
    </row>
    <row r="25" spans="1:30" ht="26.25" customHeight="1" thickBot="1">
      <c r="A25" s="222">
        <v>8</v>
      </c>
      <c r="B25" s="223" t="s">
        <v>213</v>
      </c>
      <c r="C25" s="224">
        <v>10520</v>
      </c>
      <c r="D25" s="225" t="s">
        <v>187</v>
      </c>
      <c r="E25" s="224">
        <f t="shared" si="0"/>
        <v>9000</v>
      </c>
      <c r="F25" s="224"/>
      <c r="G25" s="224"/>
      <c r="H25" s="224"/>
      <c r="I25" s="224"/>
      <c r="J25" s="224"/>
      <c r="K25" s="224"/>
      <c r="L25" s="224"/>
      <c r="M25" s="224"/>
      <c r="N25" s="224"/>
      <c r="O25" s="224"/>
      <c r="P25" s="224"/>
      <c r="Q25" s="224"/>
      <c r="R25" s="224"/>
      <c r="S25" s="224"/>
      <c r="T25" s="224"/>
      <c r="U25" s="224"/>
      <c r="V25" s="224"/>
      <c r="W25" s="224"/>
      <c r="X25" s="224">
        <v>9000</v>
      </c>
      <c r="Y25" s="224"/>
      <c r="Z25" s="224"/>
      <c r="AA25" s="224"/>
      <c r="AB25" s="224"/>
      <c r="AC25" s="226">
        <f t="shared" si="1"/>
        <v>9000</v>
      </c>
      <c r="AD25" s="227">
        <f>AC25</f>
        <v>9000</v>
      </c>
    </row>
    <row r="26" spans="1:30" ht="26.25" customHeight="1" thickBot="1">
      <c r="A26" s="560">
        <v>9</v>
      </c>
      <c r="B26" s="562" t="s">
        <v>214</v>
      </c>
      <c r="C26" s="564">
        <v>22526</v>
      </c>
      <c r="D26" s="208" t="s">
        <v>215</v>
      </c>
      <c r="E26" s="217">
        <f t="shared" si="0"/>
        <v>6500</v>
      </c>
      <c r="F26" s="217"/>
      <c r="G26" s="217"/>
      <c r="H26" s="217"/>
      <c r="I26" s="217"/>
      <c r="J26" s="217"/>
      <c r="K26" s="217"/>
      <c r="L26" s="217"/>
      <c r="M26" s="217"/>
      <c r="N26" s="217"/>
      <c r="O26" s="217"/>
      <c r="P26" s="217"/>
      <c r="Q26" s="217"/>
      <c r="R26" s="217"/>
      <c r="S26" s="217"/>
      <c r="T26" s="217"/>
      <c r="U26" s="217"/>
      <c r="V26" s="217">
        <v>6500</v>
      </c>
      <c r="W26" s="217"/>
      <c r="X26" s="217"/>
      <c r="Y26" s="217"/>
      <c r="Z26" s="217"/>
      <c r="AA26" s="217"/>
      <c r="AB26" s="217"/>
      <c r="AC26" s="210">
        <f t="shared" si="1"/>
        <v>6500</v>
      </c>
      <c r="AD26" s="573">
        <f>AC26+AC27+AC28+AC29+AC30</f>
        <v>22526</v>
      </c>
    </row>
    <row r="27" spans="1:30" ht="19.5" customHeight="1" thickBot="1">
      <c r="A27" s="560"/>
      <c r="B27" s="562"/>
      <c r="C27" s="564"/>
      <c r="D27" s="208" t="s">
        <v>216</v>
      </c>
      <c r="E27" s="209">
        <f t="shared" si="0"/>
        <v>1000</v>
      </c>
      <c r="F27" s="209"/>
      <c r="G27" s="209"/>
      <c r="H27" s="209"/>
      <c r="I27" s="209"/>
      <c r="J27" s="209"/>
      <c r="K27" s="209"/>
      <c r="L27" s="209"/>
      <c r="M27" s="209"/>
      <c r="N27" s="209"/>
      <c r="O27" s="209"/>
      <c r="P27" s="209"/>
      <c r="Q27" s="209"/>
      <c r="R27" s="209"/>
      <c r="S27" s="209"/>
      <c r="T27" s="209"/>
      <c r="U27" s="209"/>
      <c r="V27" s="209"/>
      <c r="W27" s="209"/>
      <c r="X27" s="209"/>
      <c r="Y27" s="209">
        <v>1000</v>
      </c>
      <c r="Z27" s="209"/>
      <c r="AA27" s="209"/>
      <c r="AB27" s="209"/>
      <c r="AC27" s="210">
        <f t="shared" si="1"/>
        <v>1000</v>
      </c>
      <c r="AD27" s="574"/>
    </row>
    <row r="28" spans="1:30" ht="19.5" customHeight="1" thickBot="1">
      <c r="A28" s="560"/>
      <c r="B28" s="562"/>
      <c r="C28" s="564"/>
      <c r="D28" s="208" t="s">
        <v>217</v>
      </c>
      <c r="E28" s="209">
        <f t="shared" si="0"/>
        <v>1000</v>
      </c>
      <c r="F28" s="209"/>
      <c r="G28" s="209"/>
      <c r="H28" s="209"/>
      <c r="I28" s="209"/>
      <c r="J28" s="209"/>
      <c r="K28" s="209"/>
      <c r="L28" s="209"/>
      <c r="M28" s="209"/>
      <c r="N28" s="209"/>
      <c r="O28" s="209"/>
      <c r="P28" s="209"/>
      <c r="Q28" s="209"/>
      <c r="R28" s="209"/>
      <c r="S28" s="209">
        <v>1000</v>
      </c>
      <c r="T28" s="209"/>
      <c r="U28" s="209"/>
      <c r="V28" s="209"/>
      <c r="W28" s="209"/>
      <c r="X28" s="209"/>
      <c r="Y28" s="209"/>
      <c r="Z28" s="209"/>
      <c r="AA28" s="209"/>
      <c r="AB28" s="209"/>
      <c r="AC28" s="214">
        <f t="shared" si="1"/>
        <v>1000</v>
      </c>
      <c r="AD28" s="574"/>
    </row>
    <row r="29" spans="1:30" ht="19.5" customHeight="1" thickBot="1">
      <c r="A29" s="560"/>
      <c r="B29" s="562"/>
      <c r="C29" s="564"/>
      <c r="D29" s="208" t="s">
        <v>218</v>
      </c>
      <c r="E29" s="209">
        <f t="shared" si="0"/>
        <v>2500</v>
      </c>
      <c r="F29" s="209"/>
      <c r="G29" s="209"/>
      <c r="H29" s="209"/>
      <c r="I29" s="209"/>
      <c r="J29" s="209"/>
      <c r="K29" s="209">
        <v>2500</v>
      </c>
      <c r="L29" s="209"/>
      <c r="M29" s="209"/>
      <c r="N29" s="209"/>
      <c r="O29" s="209"/>
      <c r="P29" s="209"/>
      <c r="Q29" s="209"/>
      <c r="R29" s="209"/>
      <c r="S29" s="209"/>
      <c r="T29" s="209"/>
      <c r="U29" s="209"/>
      <c r="V29" s="209"/>
      <c r="W29" s="209"/>
      <c r="X29" s="209"/>
      <c r="Y29" s="209"/>
      <c r="Z29" s="209"/>
      <c r="AA29" s="209"/>
      <c r="AB29" s="209"/>
      <c r="AC29" s="214">
        <f t="shared" si="1"/>
        <v>2500</v>
      </c>
      <c r="AD29" s="574"/>
    </row>
    <row r="30" spans="1:30" ht="19.5" customHeight="1" thickBot="1">
      <c r="A30" s="561"/>
      <c r="B30" s="563"/>
      <c r="C30" s="565"/>
      <c r="D30" s="218" t="s">
        <v>219</v>
      </c>
      <c r="E30" s="228">
        <f t="shared" si="0"/>
        <v>11526</v>
      </c>
      <c r="F30" s="204"/>
      <c r="G30" s="204"/>
      <c r="H30" s="204"/>
      <c r="I30" s="204"/>
      <c r="J30" s="204"/>
      <c r="K30" s="204"/>
      <c r="L30" s="204"/>
      <c r="M30" s="204"/>
      <c r="N30" s="204"/>
      <c r="O30" s="204"/>
      <c r="P30" s="204"/>
      <c r="Q30" s="204"/>
      <c r="R30" s="204"/>
      <c r="S30" s="204">
        <v>11526</v>
      </c>
      <c r="T30" s="204"/>
      <c r="U30" s="204"/>
      <c r="V30" s="204"/>
      <c r="W30" s="204"/>
      <c r="X30" s="204"/>
      <c r="Y30" s="204"/>
      <c r="Z30" s="204"/>
      <c r="AA30" s="204"/>
      <c r="AB30" s="204"/>
      <c r="AC30" s="205">
        <f t="shared" si="1"/>
        <v>11526</v>
      </c>
      <c r="AD30" s="575"/>
    </row>
    <row r="31" spans="1:40" ht="21.75" customHeight="1" thickBot="1">
      <c r="A31" s="555">
        <v>10</v>
      </c>
      <c r="B31" s="557" t="s">
        <v>220</v>
      </c>
      <c r="C31" s="551">
        <v>7839</v>
      </c>
      <c r="D31" s="229" t="s">
        <v>221</v>
      </c>
      <c r="E31" s="202">
        <f t="shared" si="0"/>
        <v>5539</v>
      </c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202">
        <v>5539</v>
      </c>
      <c r="T31" s="202"/>
      <c r="U31" s="202"/>
      <c r="V31" s="202"/>
      <c r="W31" s="202"/>
      <c r="X31" s="202"/>
      <c r="Y31" s="202"/>
      <c r="Z31" s="202"/>
      <c r="AA31" s="202"/>
      <c r="AB31" s="202"/>
      <c r="AC31" s="197">
        <f t="shared" si="1"/>
        <v>5539</v>
      </c>
      <c r="AD31" s="571">
        <f>AC31+AC32+AC33</f>
        <v>7839</v>
      </c>
      <c r="AF31" s="207" t="s">
        <v>191</v>
      </c>
      <c r="AG31" s="207">
        <f aca="true" t="shared" si="7" ref="AG31:AM31">SUM(AG29:AG30)</f>
        <v>0</v>
      </c>
      <c r="AH31" s="207">
        <f t="shared" si="7"/>
        <v>0</v>
      </c>
      <c r="AI31" s="207">
        <f t="shared" si="7"/>
        <v>0</v>
      </c>
      <c r="AJ31" s="207">
        <f t="shared" si="7"/>
        <v>0</v>
      </c>
      <c r="AK31" s="207">
        <f t="shared" si="7"/>
        <v>0</v>
      </c>
      <c r="AL31" s="207">
        <f t="shared" si="7"/>
        <v>0</v>
      </c>
      <c r="AM31" s="207">
        <f t="shared" si="7"/>
        <v>0</v>
      </c>
      <c r="AN31" s="207">
        <f>SUM(AG31:AM31)</f>
        <v>0</v>
      </c>
    </row>
    <row r="32" spans="1:40" ht="25.5" customHeight="1" thickBot="1">
      <c r="A32" s="555"/>
      <c r="B32" s="557"/>
      <c r="C32" s="551"/>
      <c r="D32" s="212" t="s">
        <v>222</v>
      </c>
      <c r="E32" s="209">
        <f t="shared" si="0"/>
        <v>1300</v>
      </c>
      <c r="F32" s="209"/>
      <c r="G32" s="209"/>
      <c r="H32" s="209"/>
      <c r="I32" s="209"/>
      <c r="J32" s="209"/>
      <c r="K32" s="209"/>
      <c r="L32" s="209"/>
      <c r="M32" s="209"/>
      <c r="N32" s="209"/>
      <c r="O32" s="209"/>
      <c r="P32" s="209"/>
      <c r="Q32" s="209"/>
      <c r="R32" s="209"/>
      <c r="S32" s="209"/>
      <c r="T32" s="209"/>
      <c r="U32" s="209"/>
      <c r="V32" s="209"/>
      <c r="W32" s="209">
        <v>1300</v>
      </c>
      <c r="X32" s="209"/>
      <c r="Y32" s="209"/>
      <c r="Z32" s="209"/>
      <c r="AA32" s="209"/>
      <c r="AB32" s="209"/>
      <c r="AC32" s="210">
        <f t="shared" si="1"/>
        <v>1300</v>
      </c>
      <c r="AD32" s="572"/>
      <c r="AF32" s="190">
        <v>6050</v>
      </c>
      <c r="AG32" s="190"/>
      <c r="AH32" s="190">
        <f>3500+17231</f>
        <v>20731</v>
      </c>
      <c r="AI32" s="190">
        <v>3700</v>
      </c>
      <c r="AJ32" s="190">
        <f>5500+8500</f>
        <v>14000</v>
      </c>
      <c r="AK32" s="190"/>
      <c r="AL32" s="190">
        <f>4000+6199+5400+6075+18200+7240+5095-200-75</f>
        <v>51934</v>
      </c>
      <c r="AM32" s="190">
        <f>4000+7000+4200+5000-7000</f>
        <v>13200</v>
      </c>
      <c r="AN32" s="190">
        <f>SUM(AG32:AM32)</f>
        <v>103565</v>
      </c>
    </row>
    <row r="33" spans="1:40" ht="33" customHeight="1" thickBot="1">
      <c r="A33" s="555"/>
      <c r="B33" s="557"/>
      <c r="C33" s="551"/>
      <c r="D33" s="203" t="s">
        <v>223</v>
      </c>
      <c r="E33" s="204">
        <f t="shared" si="0"/>
        <v>1000</v>
      </c>
      <c r="F33" s="204"/>
      <c r="G33" s="204"/>
      <c r="H33" s="204"/>
      <c r="I33" s="204"/>
      <c r="J33" s="204"/>
      <c r="K33" s="204"/>
      <c r="L33" s="204"/>
      <c r="M33" s="204"/>
      <c r="N33" s="204"/>
      <c r="O33" s="204"/>
      <c r="P33" s="204"/>
      <c r="Q33" s="204"/>
      <c r="R33" s="204"/>
      <c r="S33" s="204"/>
      <c r="T33" s="204"/>
      <c r="U33" s="204"/>
      <c r="V33" s="204">
        <v>1000</v>
      </c>
      <c r="W33" s="204"/>
      <c r="X33" s="204"/>
      <c r="Y33" s="204"/>
      <c r="Z33" s="204"/>
      <c r="AA33" s="204"/>
      <c r="AB33" s="204"/>
      <c r="AC33" s="211">
        <f t="shared" si="1"/>
        <v>1000</v>
      </c>
      <c r="AD33" s="572"/>
      <c r="AF33" s="207" t="s">
        <v>195</v>
      </c>
      <c r="AG33" s="207">
        <f aca="true" t="shared" si="8" ref="AG33:AM33">SUM(AG31:AG32)</f>
        <v>0</v>
      </c>
      <c r="AH33" s="207">
        <f t="shared" si="8"/>
        <v>20731</v>
      </c>
      <c r="AI33" s="207">
        <f t="shared" si="8"/>
        <v>3700</v>
      </c>
      <c r="AJ33" s="207">
        <f t="shared" si="8"/>
        <v>14000</v>
      </c>
      <c r="AK33" s="207">
        <f t="shared" si="8"/>
        <v>0</v>
      </c>
      <c r="AL33" s="207">
        <f t="shared" si="8"/>
        <v>51934</v>
      </c>
      <c r="AM33" s="207">
        <f t="shared" si="8"/>
        <v>13200</v>
      </c>
      <c r="AN33" s="207">
        <f>SUM(AG33:AM33)</f>
        <v>103565</v>
      </c>
    </row>
    <row r="34" spans="1:30" ht="28.5" customHeight="1" thickBot="1">
      <c r="A34" s="555">
        <v>11</v>
      </c>
      <c r="B34" s="556" t="s">
        <v>224</v>
      </c>
      <c r="C34" s="551">
        <v>22526</v>
      </c>
      <c r="D34" s="208" t="s">
        <v>225</v>
      </c>
      <c r="E34" s="202">
        <f t="shared" si="0"/>
        <v>5000</v>
      </c>
      <c r="F34" s="202"/>
      <c r="G34" s="202"/>
      <c r="H34" s="202"/>
      <c r="I34" s="202"/>
      <c r="J34" s="202"/>
      <c r="K34" s="202"/>
      <c r="L34" s="202"/>
      <c r="M34" s="202"/>
      <c r="N34" s="202"/>
      <c r="O34" s="202"/>
      <c r="P34" s="202"/>
      <c r="Q34" s="202"/>
      <c r="R34" s="202"/>
      <c r="S34" s="202">
        <v>5000</v>
      </c>
      <c r="T34" s="202"/>
      <c r="U34" s="202"/>
      <c r="V34" s="202"/>
      <c r="W34" s="202"/>
      <c r="X34" s="202"/>
      <c r="Y34" s="202"/>
      <c r="Z34" s="202"/>
      <c r="AA34" s="202"/>
      <c r="AB34" s="202"/>
      <c r="AC34" s="197">
        <f t="shared" si="1"/>
        <v>5000</v>
      </c>
      <c r="AD34" s="573">
        <f>AC34+AC35+AC36+AC37+AC38+AC39+AC40</f>
        <v>22526</v>
      </c>
    </row>
    <row r="35" spans="1:30" ht="19.5" customHeight="1" thickBot="1">
      <c r="A35" s="555"/>
      <c r="B35" s="556"/>
      <c r="C35" s="551"/>
      <c r="D35" s="230" t="s">
        <v>226</v>
      </c>
      <c r="E35" s="217">
        <f>AC35+200</f>
        <v>5000</v>
      </c>
      <c r="F35" s="217"/>
      <c r="G35" s="217"/>
      <c r="H35" s="217"/>
      <c r="I35" s="217"/>
      <c r="J35" s="217"/>
      <c r="K35" s="217"/>
      <c r="L35" s="217">
        <v>4800</v>
      </c>
      <c r="M35" s="217"/>
      <c r="N35" s="217"/>
      <c r="O35" s="217"/>
      <c r="P35" s="217"/>
      <c r="Q35" s="217"/>
      <c r="R35" s="217"/>
      <c r="S35" s="217"/>
      <c r="T35" s="217"/>
      <c r="U35" s="217"/>
      <c r="V35" s="217"/>
      <c r="W35" s="217"/>
      <c r="X35" s="217"/>
      <c r="Y35" s="217"/>
      <c r="Z35" s="217"/>
      <c r="AA35" s="217"/>
      <c r="AB35" s="217"/>
      <c r="AC35" s="214">
        <f>SUM(F35:AA35)</f>
        <v>4800</v>
      </c>
      <c r="AD35" s="574"/>
    </row>
    <row r="36" spans="1:30" ht="19.5" customHeight="1" thickBot="1">
      <c r="A36" s="555"/>
      <c r="B36" s="556"/>
      <c r="C36" s="551"/>
      <c r="D36" s="208" t="s">
        <v>227</v>
      </c>
      <c r="E36" s="209">
        <f>AC36</f>
        <v>1500</v>
      </c>
      <c r="F36" s="209"/>
      <c r="G36" s="209"/>
      <c r="H36" s="209"/>
      <c r="I36" s="209"/>
      <c r="J36" s="209"/>
      <c r="K36" s="209"/>
      <c r="L36" s="209"/>
      <c r="M36" s="209"/>
      <c r="N36" s="209"/>
      <c r="O36" s="209"/>
      <c r="P36" s="209"/>
      <c r="Q36" s="209"/>
      <c r="R36" s="209"/>
      <c r="S36" s="209"/>
      <c r="T36" s="209"/>
      <c r="U36" s="209"/>
      <c r="V36" s="209">
        <v>1500</v>
      </c>
      <c r="W36" s="209"/>
      <c r="X36" s="209"/>
      <c r="Y36" s="209"/>
      <c r="Z36" s="209"/>
      <c r="AA36" s="209"/>
      <c r="AB36" s="209"/>
      <c r="AC36" s="214">
        <f>SUM(F36:AA36)</f>
        <v>1500</v>
      </c>
      <c r="AD36" s="574"/>
    </row>
    <row r="37" spans="1:30" ht="24.75" thickBot="1">
      <c r="A37" s="555"/>
      <c r="B37" s="556"/>
      <c r="C37" s="551"/>
      <c r="D37" s="208" t="s">
        <v>228</v>
      </c>
      <c r="E37" s="209">
        <f>AC37</f>
        <v>2000</v>
      </c>
      <c r="F37" s="209"/>
      <c r="G37" s="209"/>
      <c r="H37" s="209"/>
      <c r="I37" s="209"/>
      <c r="J37" s="209"/>
      <c r="K37" s="209"/>
      <c r="L37" s="209"/>
      <c r="M37" s="209"/>
      <c r="N37" s="209"/>
      <c r="O37" s="209"/>
      <c r="P37" s="209"/>
      <c r="Q37" s="209"/>
      <c r="R37" s="209"/>
      <c r="S37" s="209"/>
      <c r="T37" s="209"/>
      <c r="U37" s="209"/>
      <c r="V37" s="209">
        <v>2000</v>
      </c>
      <c r="W37" s="209"/>
      <c r="X37" s="209"/>
      <c r="Y37" s="209"/>
      <c r="Z37" s="209"/>
      <c r="AA37" s="209"/>
      <c r="AB37" s="209"/>
      <c r="AC37" s="214">
        <f>SUM(F37:AA37)</f>
        <v>2000</v>
      </c>
      <c r="AD37" s="574"/>
    </row>
    <row r="38" spans="1:30" ht="21.75" customHeight="1" thickBot="1">
      <c r="A38" s="555"/>
      <c r="B38" s="556"/>
      <c r="C38" s="551"/>
      <c r="D38" s="208" t="s">
        <v>229</v>
      </c>
      <c r="E38" s="209">
        <f>AC38</f>
        <v>1500</v>
      </c>
      <c r="F38" s="209"/>
      <c r="G38" s="209"/>
      <c r="H38" s="209"/>
      <c r="I38" s="209"/>
      <c r="J38" s="209"/>
      <c r="K38" s="209"/>
      <c r="L38" s="209"/>
      <c r="M38" s="209"/>
      <c r="N38" s="209"/>
      <c r="O38" s="209"/>
      <c r="P38" s="209"/>
      <c r="Q38" s="209"/>
      <c r="R38" s="209"/>
      <c r="S38" s="209">
        <v>1500</v>
      </c>
      <c r="T38" s="209"/>
      <c r="U38" s="209"/>
      <c r="V38" s="209"/>
      <c r="W38" s="209"/>
      <c r="X38" s="209"/>
      <c r="Y38" s="209"/>
      <c r="Z38" s="209"/>
      <c r="AA38" s="209"/>
      <c r="AB38" s="209"/>
      <c r="AC38" s="214">
        <f>SUM(F38:AA38)</f>
        <v>1500</v>
      </c>
      <c r="AD38" s="574"/>
    </row>
    <row r="39" spans="1:30" ht="21.75" customHeight="1" thickBot="1">
      <c r="A39" s="555"/>
      <c r="B39" s="556"/>
      <c r="C39" s="551"/>
      <c r="D39" s="208" t="s">
        <v>230</v>
      </c>
      <c r="E39" s="209">
        <f>AC39</f>
        <v>526</v>
      </c>
      <c r="F39" s="209"/>
      <c r="G39" s="209"/>
      <c r="H39" s="209"/>
      <c r="I39" s="209"/>
      <c r="J39" s="209"/>
      <c r="K39" s="209"/>
      <c r="L39" s="209"/>
      <c r="M39" s="209"/>
      <c r="N39" s="209"/>
      <c r="O39" s="209"/>
      <c r="P39" s="209"/>
      <c r="Q39" s="209"/>
      <c r="R39" s="209"/>
      <c r="S39" s="209"/>
      <c r="T39" s="209"/>
      <c r="U39" s="209"/>
      <c r="V39" s="209"/>
      <c r="W39" s="209"/>
      <c r="X39" s="209"/>
      <c r="Y39" s="209"/>
      <c r="Z39" s="209"/>
      <c r="AA39" s="209">
        <v>526</v>
      </c>
      <c r="AB39" s="209"/>
      <c r="AC39" s="214">
        <f>SUM(F39:AA39)</f>
        <v>526</v>
      </c>
      <c r="AD39" s="574"/>
    </row>
    <row r="40" spans="1:30" ht="26.25" customHeight="1" thickBot="1">
      <c r="A40" s="555"/>
      <c r="B40" s="556"/>
      <c r="C40" s="551"/>
      <c r="D40" s="218" t="s">
        <v>231</v>
      </c>
      <c r="E40" s="228">
        <f>AC40-200</f>
        <v>7000</v>
      </c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>
        <f>10000-2800</f>
        <v>7200</v>
      </c>
      <c r="U40" s="204"/>
      <c r="V40" s="204"/>
      <c r="W40" s="204"/>
      <c r="X40" s="204"/>
      <c r="Y40" s="204"/>
      <c r="Z40" s="204"/>
      <c r="AA40" s="204"/>
      <c r="AB40" s="204"/>
      <c r="AC40" s="205">
        <f>SUM(F40:Y40)</f>
        <v>7200</v>
      </c>
      <c r="AD40" s="575"/>
    </row>
    <row r="41" spans="1:30" ht="20.25" customHeight="1" thickBot="1">
      <c r="A41" s="555">
        <v>12</v>
      </c>
      <c r="B41" s="557" t="s">
        <v>232</v>
      </c>
      <c r="C41" s="551">
        <v>15656</v>
      </c>
      <c r="D41" s="208" t="s">
        <v>233</v>
      </c>
      <c r="E41" s="202">
        <f aca="true" t="shared" si="9" ref="E41:E52">AC41</f>
        <v>4000</v>
      </c>
      <c r="F41" s="202"/>
      <c r="G41" s="202"/>
      <c r="H41" s="202"/>
      <c r="I41" s="202"/>
      <c r="J41" s="202"/>
      <c r="K41" s="202"/>
      <c r="L41" s="202"/>
      <c r="M41" s="202"/>
      <c r="N41" s="202"/>
      <c r="O41" s="202"/>
      <c r="P41" s="202"/>
      <c r="Q41" s="202"/>
      <c r="R41" s="202"/>
      <c r="S41" s="202"/>
      <c r="T41" s="202"/>
      <c r="U41" s="202"/>
      <c r="V41" s="202">
        <v>4000</v>
      </c>
      <c r="W41" s="202"/>
      <c r="X41" s="202"/>
      <c r="Y41" s="202"/>
      <c r="Z41" s="202"/>
      <c r="AA41" s="202"/>
      <c r="AB41" s="202"/>
      <c r="AC41" s="197">
        <f>SUM(F41:Y41)</f>
        <v>4000</v>
      </c>
      <c r="AD41" s="573">
        <f>SUM(AC41:AC45)</f>
        <v>15656</v>
      </c>
    </row>
    <row r="42" spans="1:30" ht="20.25" customHeight="1" thickBot="1">
      <c r="A42" s="555"/>
      <c r="B42" s="557"/>
      <c r="C42" s="551"/>
      <c r="D42" s="208" t="s">
        <v>198</v>
      </c>
      <c r="E42" s="209">
        <f t="shared" si="9"/>
        <v>5000</v>
      </c>
      <c r="F42" s="209"/>
      <c r="G42" s="209"/>
      <c r="H42" s="209"/>
      <c r="I42" s="209"/>
      <c r="J42" s="209"/>
      <c r="K42" s="209"/>
      <c r="L42" s="209"/>
      <c r="M42" s="209"/>
      <c r="N42" s="209"/>
      <c r="O42" s="209"/>
      <c r="P42" s="209"/>
      <c r="Q42" s="209"/>
      <c r="R42" s="209"/>
      <c r="S42" s="209"/>
      <c r="T42" s="209"/>
      <c r="U42" s="209"/>
      <c r="V42" s="209"/>
      <c r="W42" s="209"/>
      <c r="X42" s="209">
        <v>5000</v>
      </c>
      <c r="Y42" s="209"/>
      <c r="Z42" s="209"/>
      <c r="AA42" s="209"/>
      <c r="AB42" s="209"/>
      <c r="AC42" s="214">
        <f>SUM(F42:Y42)</f>
        <v>5000</v>
      </c>
      <c r="AD42" s="576"/>
    </row>
    <row r="43" spans="1:30" ht="28.5" customHeight="1" thickBot="1">
      <c r="A43" s="555"/>
      <c r="B43" s="557"/>
      <c r="C43" s="551"/>
      <c r="D43" s="212" t="s">
        <v>234</v>
      </c>
      <c r="E43" s="209">
        <f t="shared" si="9"/>
        <v>1000</v>
      </c>
      <c r="F43" s="209"/>
      <c r="G43" s="209"/>
      <c r="H43" s="209"/>
      <c r="I43" s="209"/>
      <c r="J43" s="209"/>
      <c r="K43" s="209"/>
      <c r="L43" s="209"/>
      <c r="M43" s="209"/>
      <c r="N43" s="209"/>
      <c r="O43" s="209"/>
      <c r="P43" s="209"/>
      <c r="Q43" s="209"/>
      <c r="R43" s="209"/>
      <c r="S43" s="209"/>
      <c r="T43" s="209"/>
      <c r="U43" s="209"/>
      <c r="V43" s="209"/>
      <c r="W43" s="209">
        <v>1000</v>
      </c>
      <c r="X43" s="209"/>
      <c r="Y43" s="209"/>
      <c r="Z43" s="209"/>
      <c r="AA43" s="209"/>
      <c r="AB43" s="209"/>
      <c r="AC43" s="214">
        <f>SUM(F43:Y43)</f>
        <v>1000</v>
      </c>
      <c r="AD43" s="576"/>
    </row>
    <row r="44" spans="1:30" ht="28.5" customHeight="1" thickBot="1">
      <c r="A44" s="555"/>
      <c r="B44" s="557"/>
      <c r="C44" s="551"/>
      <c r="D44" s="208" t="s">
        <v>235</v>
      </c>
      <c r="E44" s="209">
        <f t="shared" si="9"/>
        <v>1656</v>
      </c>
      <c r="F44" s="209"/>
      <c r="G44" s="209"/>
      <c r="H44" s="209"/>
      <c r="I44" s="209"/>
      <c r="J44" s="209"/>
      <c r="K44" s="209"/>
      <c r="L44" s="209"/>
      <c r="M44" s="209"/>
      <c r="N44" s="209"/>
      <c r="O44" s="209"/>
      <c r="P44" s="209"/>
      <c r="Q44" s="209"/>
      <c r="R44" s="209"/>
      <c r="S44" s="209"/>
      <c r="T44" s="209"/>
      <c r="U44" s="209"/>
      <c r="V44" s="209"/>
      <c r="W44" s="209"/>
      <c r="X44" s="209"/>
      <c r="Y44" s="209"/>
      <c r="Z44" s="209"/>
      <c r="AA44" s="209"/>
      <c r="AB44" s="209">
        <v>1656</v>
      </c>
      <c r="AC44" s="214">
        <f>SUM(F44:AB44)</f>
        <v>1656</v>
      </c>
      <c r="AD44" s="576"/>
    </row>
    <row r="45" spans="1:30" ht="18" customHeight="1" thickBot="1">
      <c r="A45" s="555"/>
      <c r="B45" s="557"/>
      <c r="C45" s="551"/>
      <c r="D45" s="203" t="s">
        <v>236</v>
      </c>
      <c r="E45" s="204">
        <f t="shared" si="9"/>
        <v>4000</v>
      </c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U45" s="204"/>
      <c r="V45" s="204"/>
      <c r="W45" s="204"/>
      <c r="X45" s="204"/>
      <c r="Y45" s="204"/>
      <c r="Z45" s="204">
        <v>4000</v>
      </c>
      <c r="AA45" s="204"/>
      <c r="AB45" s="204"/>
      <c r="AC45" s="214">
        <f>SUM(F45:AB45)</f>
        <v>4000</v>
      </c>
      <c r="AD45" s="577"/>
    </row>
    <row r="46" spans="1:30" ht="20.25" customHeight="1" thickBot="1">
      <c r="A46" s="192">
        <v>13</v>
      </c>
      <c r="B46" s="199" t="s">
        <v>237</v>
      </c>
      <c r="C46" s="200">
        <v>5406</v>
      </c>
      <c r="D46" s="195" t="s">
        <v>238</v>
      </c>
      <c r="E46" s="200">
        <f t="shared" si="9"/>
        <v>5406</v>
      </c>
      <c r="F46" s="200"/>
      <c r="G46" s="200"/>
      <c r="H46" s="200"/>
      <c r="I46" s="200"/>
      <c r="J46" s="200"/>
      <c r="K46" s="200"/>
      <c r="L46" s="200"/>
      <c r="M46" s="200"/>
      <c r="N46" s="200"/>
      <c r="O46" s="200"/>
      <c r="P46" s="200"/>
      <c r="Q46" s="200"/>
      <c r="R46" s="200"/>
      <c r="S46" s="200">
        <v>5406</v>
      </c>
      <c r="T46" s="200"/>
      <c r="U46" s="200"/>
      <c r="V46" s="200"/>
      <c r="W46" s="200"/>
      <c r="X46" s="200"/>
      <c r="Y46" s="200"/>
      <c r="Z46" s="200"/>
      <c r="AA46" s="200"/>
      <c r="AB46" s="200"/>
      <c r="AC46" s="226">
        <f aca="true" t="shared" si="10" ref="AC46:AC52">SUM(F46:Y46)</f>
        <v>5406</v>
      </c>
      <c r="AD46" s="227">
        <f>AC46</f>
        <v>5406</v>
      </c>
    </row>
    <row r="47" spans="1:30" ht="30.75" customHeight="1" thickBot="1">
      <c r="A47" s="555">
        <v>14</v>
      </c>
      <c r="B47" s="557" t="s">
        <v>239</v>
      </c>
      <c r="C47" s="551">
        <v>19733</v>
      </c>
      <c r="D47" s="208" t="s">
        <v>209</v>
      </c>
      <c r="E47" s="202">
        <f t="shared" si="9"/>
        <v>4500</v>
      </c>
      <c r="F47" s="202"/>
      <c r="G47" s="202"/>
      <c r="H47" s="202"/>
      <c r="I47" s="202"/>
      <c r="J47" s="202"/>
      <c r="K47" s="202"/>
      <c r="L47" s="202"/>
      <c r="M47" s="202"/>
      <c r="N47" s="202"/>
      <c r="O47" s="202"/>
      <c r="P47" s="202"/>
      <c r="Q47" s="202"/>
      <c r="R47" s="202"/>
      <c r="S47" s="202"/>
      <c r="T47" s="202"/>
      <c r="U47" s="202"/>
      <c r="V47" s="202">
        <v>1000</v>
      </c>
      <c r="W47" s="202">
        <v>3500</v>
      </c>
      <c r="X47" s="202"/>
      <c r="Y47" s="202"/>
      <c r="Z47" s="202"/>
      <c r="AA47" s="202"/>
      <c r="AB47" s="202"/>
      <c r="AC47" s="197">
        <f t="shared" si="10"/>
        <v>4500</v>
      </c>
      <c r="AD47" s="573">
        <f>SUM(AC47:AC52)</f>
        <v>19733</v>
      </c>
    </row>
    <row r="48" spans="1:30" ht="20.25" customHeight="1" thickBot="1">
      <c r="A48" s="555"/>
      <c r="B48" s="557"/>
      <c r="C48" s="551"/>
      <c r="D48" s="212" t="s">
        <v>203</v>
      </c>
      <c r="E48" s="209">
        <f t="shared" si="9"/>
        <v>2333</v>
      </c>
      <c r="F48" s="209"/>
      <c r="G48" s="209"/>
      <c r="H48" s="209"/>
      <c r="I48" s="209"/>
      <c r="J48" s="209"/>
      <c r="K48" s="209"/>
      <c r="L48" s="209"/>
      <c r="M48" s="209"/>
      <c r="N48" s="209">
        <v>2333</v>
      </c>
      <c r="O48" s="209"/>
      <c r="P48" s="209"/>
      <c r="Q48" s="209"/>
      <c r="R48" s="209"/>
      <c r="S48" s="209"/>
      <c r="T48" s="209"/>
      <c r="U48" s="209"/>
      <c r="V48" s="209"/>
      <c r="W48" s="209"/>
      <c r="X48" s="209"/>
      <c r="Y48" s="209"/>
      <c r="Z48" s="209"/>
      <c r="AA48" s="209"/>
      <c r="AB48" s="209"/>
      <c r="AC48" s="214">
        <f t="shared" si="10"/>
        <v>2333</v>
      </c>
      <c r="AD48" s="574"/>
    </row>
    <row r="49" spans="1:30" ht="20.25" customHeight="1" thickBot="1">
      <c r="A49" s="555"/>
      <c r="B49" s="557"/>
      <c r="C49" s="551"/>
      <c r="D49" s="230" t="s">
        <v>202</v>
      </c>
      <c r="E49" s="209">
        <f t="shared" si="9"/>
        <v>900</v>
      </c>
      <c r="F49" s="209"/>
      <c r="G49" s="209"/>
      <c r="H49" s="209"/>
      <c r="I49" s="209"/>
      <c r="J49" s="209"/>
      <c r="K49" s="209"/>
      <c r="L49" s="209"/>
      <c r="M49" s="209"/>
      <c r="N49" s="209"/>
      <c r="O49" s="209"/>
      <c r="P49" s="209"/>
      <c r="Q49" s="209"/>
      <c r="R49" s="209"/>
      <c r="S49" s="209"/>
      <c r="T49" s="209"/>
      <c r="U49" s="209"/>
      <c r="V49" s="209">
        <v>900</v>
      </c>
      <c r="W49" s="209"/>
      <c r="X49" s="209"/>
      <c r="Y49" s="209"/>
      <c r="Z49" s="209"/>
      <c r="AA49" s="209"/>
      <c r="AB49" s="209"/>
      <c r="AC49" s="214">
        <f t="shared" si="10"/>
        <v>900</v>
      </c>
      <c r="AD49" s="574"/>
    </row>
    <row r="50" spans="1:30" ht="20.25" customHeight="1" thickBot="1">
      <c r="A50" s="555"/>
      <c r="B50" s="557"/>
      <c r="C50" s="551"/>
      <c r="D50" s="208" t="s">
        <v>240</v>
      </c>
      <c r="E50" s="209">
        <f t="shared" si="9"/>
        <v>11000</v>
      </c>
      <c r="F50" s="209"/>
      <c r="G50" s="209"/>
      <c r="H50" s="209"/>
      <c r="I50" s="209"/>
      <c r="J50" s="209"/>
      <c r="K50" s="209"/>
      <c r="L50" s="209"/>
      <c r="M50" s="209"/>
      <c r="N50" s="209"/>
      <c r="O50" s="209"/>
      <c r="P50" s="209"/>
      <c r="Q50" s="209"/>
      <c r="R50" s="209"/>
      <c r="S50" s="209">
        <v>11000</v>
      </c>
      <c r="T50" s="209"/>
      <c r="U50" s="209"/>
      <c r="V50" s="209"/>
      <c r="W50" s="209"/>
      <c r="X50" s="209"/>
      <c r="Y50" s="209"/>
      <c r="Z50" s="209"/>
      <c r="AA50" s="209"/>
      <c r="AB50" s="209"/>
      <c r="AC50" s="214">
        <f t="shared" si="10"/>
        <v>11000</v>
      </c>
      <c r="AD50" s="574"/>
    </row>
    <row r="51" spans="1:30" ht="20.25" customHeight="1" thickBot="1">
      <c r="A51" s="555"/>
      <c r="B51" s="557"/>
      <c r="C51" s="551"/>
      <c r="D51" s="216" t="s">
        <v>205</v>
      </c>
      <c r="E51" s="209">
        <f t="shared" si="9"/>
        <v>500</v>
      </c>
      <c r="F51" s="209"/>
      <c r="G51" s="209"/>
      <c r="H51" s="209"/>
      <c r="I51" s="209"/>
      <c r="J51" s="209"/>
      <c r="K51" s="209"/>
      <c r="L51" s="209"/>
      <c r="M51" s="209">
        <v>500</v>
      </c>
      <c r="N51" s="209"/>
      <c r="O51" s="209"/>
      <c r="P51" s="209"/>
      <c r="Q51" s="209"/>
      <c r="R51" s="209"/>
      <c r="S51" s="209"/>
      <c r="T51" s="209"/>
      <c r="U51" s="209"/>
      <c r="V51" s="209"/>
      <c r="W51" s="209"/>
      <c r="X51" s="209"/>
      <c r="Y51" s="209"/>
      <c r="Z51" s="209"/>
      <c r="AA51" s="209"/>
      <c r="AB51" s="209"/>
      <c r="AC51" s="214">
        <f t="shared" si="10"/>
        <v>500</v>
      </c>
      <c r="AD51" s="574"/>
    </row>
    <row r="52" spans="1:30" ht="20.25" customHeight="1" thickBot="1">
      <c r="A52" s="555"/>
      <c r="B52" s="557"/>
      <c r="C52" s="551"/>
      <c r="D52" s="218" t="s">
        <v>241</v>
      </c>
      <c r="E52" s="231">
        <f t="shared" si="9"/>
        <v>500</v>
      </c>
      <c r="F52" s="204"/>
      <c r="G52" s="204"/>
      <c r="H52" s="204"/>
      <c r="I52" s="204"/>
      <c r="J52" s="204"/>
      <c r="K52" s="204"/>
      <c r="L52" s="204"/>
      <c r="M52" s="204"/>
      <c r="N52" s="204"/>
      <c r="O52" s="204"/>
      <c r="P52" s="204"/>
      <c r="Q52" s="204"/>
      <c r="R52" s="204"/>
      <c r="S52" s="204"/>
      <c r="T52" s="204"/>
      <c r="U52" s="204">
        <v>500</v>
      </c>
      <c r="V52" s="204"/>
      <c r="W52" s="204"/>
      <c r="X52" s="204"/>
      <c r="Y52" s="204"/>
      <c r="Z52" s="204"/>
      <c r="AA52" s="204"/>
      <c r="AB52" s="204"/>
      <c r="AC52" s="211">
        <f t="shared" si="10"/>
        <v>500</v>
      </c>
      <c r="AD52" s="575"/>
    </row>
    <row r="53" spans="1:30" ht="12.75" customHeight="1" thickBot="1">
      <c r="A53" s="547" t="s">
        <v>242</v>
      </c>
      <c r="B53" s="548"/>
      <c r="C53" s="551">
        <f>SUM(C5:C52)</f>
        <v>173435</v>
      </c>
      <c r="D53" s="553" t="s">
        <v>243</v>
      </c>
      <c r="E53" s="566">
        <f>E52+E51+E50+E49+E48+E47+E46+E45+E44+E43+E42+E41+E40+E39+E38+E37+E36+E35+E34+E33+E32+E31+E30+E29+E28+E27+E26+E25+E24+E23+E22+E21+E20+E19+E18+E17+E16+E15+E14+E13+E12+E11+E10+E9+E8+E7+E6+E5</f>
        <v>168662</v>
      </c>
      <c r="F53" s="558">
        <f aca="true" t="shared" si="11" ref="F53:AC53">SUM(F5:F52)</f>
        <v>5000</v>
      </c>
      <c r="G53" s="542">
        <f t="shared" si="11"/>
        <v>0</v>
      </c>
      <c r="H53" s="542">
        <f t="shared" si="11"/>
        <v>533</v>
      </c>
      <c r="I53" s="542">
        <f t="shared" si="11"/>
        <v>6157</v>
      </c>
      <c r="J53" s="542">
        <f t="shared" si="11"/>
        <v>601</v>
      </c>
      <c r="K53" s="542">
        <f t="shared" si="11"/>
        <v>2500</v>
      </c>
      <c r="L53" s="542">
        <f t="shared" si="11"/>
        <v>4800</v>
      </c>
      <c r="M53" s="542">
        <f t="shared" si="11"/>
        <v>1000</v>
      </c>
      <c r="N53" s="542">
        <f t="shared" si="11"/>
        <v>2333</v>
      </c>
      <c r="O53" s="542">
        <f t="shared" si="11"/>
        <v>2600</v>
      </c>
      <c r="P53" s="542">
        <f t="shared" si="11"/>
        <v>0</v>
      </c>
      <c r="Q53" s="542">
        <f t="shared" si="11"/>
        <v>0</v>
      </c>
      <c r="R53" s="542">
        <f t="shared" si="11"/>
        <v>2000</v>
      </c>
      <c r="S53" s="542">
        <f t="shared" si="11"/>
        <v>40971</v>
      </c>
      <c r="T53" s="542">
        <f t="shared" si="11"/>
        <v>30025</v>
      </c>
      <c r="U53" s="542">
        <f t="shared" si="11"/>
        <v>500</v>
      </c>
      <c r="V53" s="542">
        <f t="shared" si="11"/>
        <v>21160</v>
      </c>
      <c r="W53" s="542">
        <f t="shared" si="11"/>
        <v>14800</v>
      </c>
      <c r="X53" s="542">
        <f t="shared" si="11"/>
        <v>26500</v>
      </c>
      <c r="Y53" s="542">
        <f t="shared" si="11"/>
        <v>1000</v>
      </c>
      <c r="Z53" s="542">
        <f t="shared" si="11"/>
        <v>4000</v>
      </c>
      <c r="AA53" s="542">
        <f t="shared" si="11"/>
        <v>526</v>
      </c>
      <c r="AB53" s="542">
        <f t="shared" si="11"/>
        <v>1656</v>
      </c>
      <c r="AC53" s="544">
        <f t="shared" si="11"/>
        <v>168662</v>
      </c>
      <c r="AD53" s="573">
        <f>AD47+AD46+AD41+AD34+AD31+AD26+AD25+AD24+AD21+AD16+AD12+AD8+AD6+AD5</f>
        <v>168662</v>
      </c>
    </row>
    <row r="54" spans="1:30" ht="22.5" customHeight="1" thickBot="1">
      <c r="A54" s="549"/>
      <c r="B54" s="550"/>
      <c r="C54" s="552"/>
      <c r="D54" s="554"/>
      <c r="E54" s="567"/>
      <c r="F54" s="559"/>
      <c r="G54" s="543"/>
      <c r="H54" s="543"/>
      <c r="I54" s="543"/>
      <c r="J54" s="543"/>
      <c r="K54" s="543"/>
      <c r="L54" s="543"/>
      <c r="M54" s="543"/>
      <c r="N54" s="543"/>
      <c r="O54" s="543"/>
      <c r="P54" s="543"/>
      <c r="Q54" s="543"/>
      <c r="R54" s="543"/>
      <c r="S54" s="543"/>
      <c r="T54" s="543"/>
      <c r="U54" s="543"/>
      <c r="V54" s="543"/>
      <c r="W54" s="543"/>
      <c r="X54" s="543"/>
      <c r="Y54" s="543"/>
      <c r="Z54" s="543"/>
      <c r="AA54" s="543"/>
      <c r="AB54" s="543"/>
      <c r="AC54" s="545"/>
      <c r="AD54" s="567"/>
    </row>
    <row r="55" spans="1:2" ht="12.75">
      <c r="A55" s="232"/>
      <c r="B55" s="232"/>
    </row>
    <row r="56" spans="1:29" ht="12.75" customHeight="1">
      <c r="A56" s="546" t="s">
        <v>244</v>
      </c>
      <c r="B56" s="546"/>
      <c r="C56" s="546"/>
      <c r="D56" s="546"/>
      <c r="E56" s="546"/>
      <c r="F56" s="233"/>
      <c r="G56" s="233"/>
      <c r="H56" s="233"/>
      <c r="I56" s="233"/>
      <c r="J56" s="233"/>
      <c r="K56" s="233"/>
      <c r="L56" s="233"/>
      <c r="M56" s="233"/>
      <c r="N56" s="233"/>
      <c r="O56" s="233"/>
      <c r="P56" s="233"/>
      <c r="Q56" s="233"/>
      <c r="R56" s="233"/>
      <c r="S56" s="233"/>
      <c r="T56" s="233"/>
      <c r="U56" s="233"/>
      <c r="V56" s="233"/>
      <c r="W56" s="233"/>
      <c r="X56" s="233"/>
      <c r="Y56" s="233"/>
      <c r="Z56" s="233"/>
      <c r="AA56" s="233"/>
      <c r="AB56" s="233"/>
      <c r="AC56" s="234"/>
    </row>
    <row r="57" spans="1:29" ht="16.5" customHeight="1">
      <c r="A57" s="546"/>
      <c r="B57" s="546"/>
      <c r="C57" s="546"/>
      <c r="D57" s="546"/>
      <c r="E57" s="546"/>
      <c r="F57" s="233"/>
      <c r="G57" s="233"/>
      <c r="H57" s="233"/>
      <c r="I57" s="233"/>
      <c r="J57" s="233"/>
      <c r="K57" s="233"/>
      <c r="L57" s="233"/>
      <c r="M57" s="233"/>
      <c r="N57" s="233"/>
      <c r="O57" s="233"/>
      <c r="P57" s="233"/>
      <c r="Q57" s="233"/>
      <c r="R57" s="233"/>
      <c r="S57" s="233"/>
      <c r="T57" s="233"/>
      <c r="U57" s="233"/>
      <c r="V57" s="233"/>
      <c r="W57" s="233"/>
      <c r="X57" s="233"/>
      <c r="Y57" s="233"/>
      <c r="Z57" s="233"/>
      <c r="AA57" s="233"/>
      <c r="AB57" s="233"/>
      <c r="AC57" s="234"/>
    </row>
    <row r="58" ht="13.5" thickBot="1"/>
    <row r="59" spans="1:29" s="237" customFormat="1" ht="18.75" customHeight="1" thickBot="1">
      <c r="A59" s="235" t="s">
        <v>41</v>
      </c>
      <c r="B59" s="235" t="s">
        <v>0</v>
      </c>
      <c r="C59" s="235" t="s">
        <v>1</v>
      </c>
      <c r="D59" s="235" t="s">
        <v>245</v>
      </c>
      <c r="E59" s="235" t="s">
        <v>246</v>
      </c>
      <c r="F59" s="236"/>
      <c r="G59" s="236"/>
      <c r="H59" s="236"/>
      <c r="I59" s="236"/>
      <c r="J59" s="236"/>
      <c r="K59" s="236"/>
      <c r="L59" s="236"/>
      <c r="M59" s="236"/>
      <c r="N59" s="236"/>
      <c r="O59" s="236"/>
      <c r="P59" s="236"/>
      <c r="Q59" s="236"/>
      <c r="R59" s="236"/>
      <c r="S59" s="236"/>
      <c r="T59" s="236"/>
      <c r="U59" s="236"/>
      <c r="V59" s="236"/>
      <c r="W59" s="236"/>
      <c r="X59" s="236"/>
      <c r="Y59" s="236"/>
      <c r="Z59" s="236"/>
      <c r="AA59" s="236"/>
      <c r="AB59" s="236"/>
      <c r="AC59" s="236"/>
    </row>
    <row r="60" spans="1:29" s="237" customFormat="1" ht="18.75" customHeight="1">
      <c r="A60" s="238">
        <v>1</v>
      </c>
      <c r="B60" s="239" t="s">
        <v>247</v>
      </c>
      <c r="C60" s="239" t="s">
        <v>248</v>
      </c>
      <c r="D60" s="217"/>
      <c r="E60" s="217">
        <f>F53</f>
        <v>5000</v>
      </c>
      <c r="F60" s="240"/>
      <c r="G60" s="240"/>
      <c r="H60" s="240"/>
      <c r="I60" s="240"/>
      <c r="J60" s="240"/>
      <c r="K60" s="240"/>
      <c r="L60" s="240"/>
      <c r="M60" s="240"/>
      <c r="N60" s="240"/>
      <c r="O60" s="240"/>
      <c r="P60" s="240"/>
      <c r="Q60" s="240"/>
      <c r="R60" s="240"/>
      <c r="S60" s="240"/>
      <c r="T60" s="240"/>
      <c r="U60" s="240"/>
      <c r="V60" s="240"/>
      <c r="W60" s="240"/>
      <c r="X60" s="240"/>
      <c r="Y60" s="240"/>
      <c r="Z60" s="240"/>
      <c r="AA60" s="240"/>
      <c r="AB60" s="240"/>
      <c r="AC60" s="240"/>
    </row>
    <row r="61" spans="1:29" s="237" customFormat="1" ht="18.75" customHeight="1">
      <c r="A61" s="241">
        <v>2</v>
      </c>
      <c r="B61" s="242" t="s">
        <v>249</v>
      </c>
      <c r="C61" s="241">
        <v>60016</v>
      </c>
      <c r="D61" s="209">
        <f>I53</f>
        <v>6157</v>
      </c>
      <c r="E61" s="217">
        <f>H53</f>
        <v>533</v>
      </c>
      <c r="F61" s="240"/>
      <c r="G61" s="240"/>
      <c r="H61" s="240"/>
      <c r="I61" s="240"/>
      <c r="J61" s="240"/>
      <c r="K61" s="240"/>
      <c r="L61" s="240"/>
      <c r="M61" s="240"/>
      <c r="N61" s="240"/>
      <c r="O61" s="240"/>
      <c r="P61" s="240"/>
      <c r="Q61" s="240"/>
      <c r="R61" s="240"/>
      <c r="S61" s="240"/>
      <c r="T61" s="240"/>
      <c r="U61" s="240"/>
      <c r="V61" s="240"/>
      <c r="W61" s="240"/>
      <c r="X61" s="240"/>
      <c r="Y61" s="240"/>
      <c r="Z61" s="240"/>
      <c r="AA61" s="240"/>
      <c r="AB61" s="240"/>
      <c r="AC61" s="240"/>
    </row>
    <row r="62" spans="1:29" s="237" customFormat="1" ht="18.75" customHeight="1">
      <c r="A62" s="241">
        <v>3</v>
      </c>
      <c r="B62" s="242" t="s">
        <v>250</v>
      </c>
      <c r="C62" s="241">
        <v>75095</v>
      </c>
      <c r="D62" s="209"/>
      <c r="E62" s="217">
        <f>J53</f>
        <v>601</v>
      </c>
      <c r="F62" s="240"/>
      <c r="G62" s="240"/>
      <c r="H62" s="240"/>
      <c r="I62" s="240"/>
      <c r="J62" s="240"/>
      <c r="K62" s="240"/>
      <c r="L62" s="240"/>
      <c r="M62" s="240"/>
      <c r="N62" s="240"/>
      <c r="O62" s="240"/>
      <c r="P62" s="240"/>
      <c r="Q62" s="240"/>
      <c r="R62" s="240"/>
      <c r="S62" s="240"/>
      <c r="T62" s="240"/>
      <c r="U62" s="240"/>
      <c r="V62" s="240"/>
      <c r="W62" s="240"/>
      <c r="X62" s="240"/>
      <c r="Y62" s="240"/>
      <c r="Z62" s="240"/>
      <c r="AA62" s="240"/>
      <c r="AB62" s="240"/>
      <c r="AC62" s="240"/>
    </row>
    <row r="63" spans="1:29" s="237" customFormat="1" ht="18.75" customHeight="1">
      <c r="A63" s="241">
        <v>4</v>
      </c>
      <c r="B63" s="242" t="s">
        <v>251</v>
      </c>
      <c r="C63" s="241">
        <v>75412</v>
      </c>
      <c r="D63" s="209">
        <f>L53+200</f>
        <v>5000</v>
      </c>
      <c r="E63" s="217">
        <f>K53</f>
        <v>2500</v>
      </c>
      <c r="F63" s="240"/>
      <c r="G63" s="240"/>
      <c r="H63" s="240"/>
      <c r="I63" s="240"/>
      <c r="J63" s="240"/>
      <c r="K63" s="240"/>
      <c r="L63" s="240"/>
      <c r="M63" s="240"/>
      <c r="N63" s="240"/>
      <c r="O63" s="240"/>
      <c r="P63" s="240"/>
      <c r="Q63" s="240"/>
      <c r="R63" s="240"/>
      <c r="S63" s="240"/>
      <c r="T63" s="240"/>
      <c r="U63" s="240"/>
      <c r="V63" s="240"/>
      <c r="W63" s="240"/>
      <c r="X63" s="240"/>
      <c r="Y63" s="240"/>
      <c r="Z63" s="240"/>
      <c r="AA63" s="240"/>
      <c r="AB63" s="240"/>
      <c r="AC63" s="240"/>
    </row>
    <row r="64" spans="1:29" s="237" customFormat="1" ht="18.75" customHeight="1">
      <c r="A64" s="241">
        <v>5</v>
      </c>
      <c r="B64" s="242" t="s">
        <v>252</v>
      </c>
      <c r="C64" s="241">
        <v>80113</v>
      </c>
      <c r="D64" s="209"/>
      <c r="E64" s="217">
        <f>M53</f>
        <v>1000</v>
      </c>
      <c r="F64" s="240"/>
      <c r="G64" s="240"/>
      <c r="H64" s="240"/>
      <c r="I64" s="240"/>
      <c r="J64" s="240"/>
      <c r="K64" s="240"/>
      <c r="L64" s="240"/>
      <c r="M64" s="240"/>
      <c r="N64" s="240"/>
      <c r="O64" s="240"/>
      <c r="P64" s="240"/>
      <c r="Q64" s="240"/>
      <c r="R64" s="240"/>
      <c r="S64" s="240"/>
      <c r="T64" s="240"/>
      <c r="U64" s="240"/>
      <c r="V64" s="240"/>
      <c r="W64" s="240"/>
      <c r="X64" s="240"/>
      <c r="Y64" s="240"/>
      <c r="Z64" s="240"/>
      <c r="AA64" s="240"/>
      <c r="AB64" s="240"/>
      <c r="AC64" s="240"/>
    </row>
    <row r="65" spans="1:29" s="237" customFormat="1" ht="18.75" customHeight="1">
      <c r="A65" s="241">
        <v>6</v>
      </c>
      <c r="B65" s="242" t="s">
        <v>253</v>
      </c>
      <c r="C65" s="241">
        <v>90004</v>
      </c>
      <c r="D65" s="209"/>
      <c r="E65" s="217">
        <f>N53+O53</f>
        <v>4933</v>
      </c>
      <c r="F65" s="240"/>
      <c r="G65" s="240"/>
      <c r="H65" s="240"/>
      <c r="I65" s="240"/>
      <c r="J65" s="240"/>
      <c r="K65" s="240"/>
      <c r="L65" s="240"/>
      <c r="M65" s="240"/>
      <c r="N65" s="240"/>
      <c r="O65" s="240"/>
      <c r="P65" s="240"/>
      <c r="Q65" s="240"/>
      <c r="R65" s="240"/>
      <c r="S65" s="240"/>
      <c r="T65" s="240"/>
      <c r="U65" s="240"/>
      <c r="V65" s="240"/>
      <c r="W65" s="240"/>
      <c r="X65" s="240"/>
      <c r="Y65" s="240"/>
      <c r="Z65" s="240"/>
      <c r="AA65" s="240"/>
      <c r="AB65" s="240"/>
      <c r="AC65" s="240"/>
    </row>
    <row r="66" spans="1:29" s="237" customFormat="1" ht="18.75" customHeight="1">
      <c r="A66" s="241">
        <v>7</v>
      </c>
      <c r="B66" s="243"/>
      <c r="C66" s="241">
        <v>90015</v>
      </c>
      <c r="D66" s="209"/>
      <c r="E66" s="217">
        <f>R53</f>
        <v>2000</v>
      </c>
      <c r="F66" s="240"/>
      <c r="G66" s="240"/>
      <c r="H66" s="240"/>
      <c r="I66" s="240"/>
      <c r="J66" s="240"/>
      <c r="K66" s="240"/>
      <c r="L66" s="240"/>
      <c r="M66" s="240"/>
      <c r="N66" s="240"/>
      <c r="O66" s="240"/>
      <c r="P66" s="240"/>
      <c r="Q66" s="240"/>
      <c r="R66" s="240"/>
      <c r="S66" s="240"/>
      <c r="T66" s="240"/>
      <c r="U66" s="240"/>
      <c r="V66" s="240"/>
      <c r="W66" s="240"/>
      <c r="X66" s="240"/>
      <c r="Y66" s="240"/>
      <c r="Z66" s="240"/>
      <c r="AA66" s="240"/>
      <c r="AB66" s="240"/>
      <c r="AC66" s="240"/>
    </row>
    <row r="67" spans="1:29" s="237" customFormat="1" ht="18.75" customHeight="1">
      <c r="A67" s="241">
        <v>8</v>
      </c>
      <c r="B67" s="242" t="s">
        <v>254</v>
      </c>
      <c r="C67" s="241">
        <v>92109</v>
      </c>
      <c r="D67" s="209">
        <f>T53-200</f>
        <v>29825</v>
      </c>
      <c r="E67" s="217">
        <f>S53</f>
        <v>40971</v>
      </c>
      <c r="F67" s="240"/>
      <c r="G67" s="240"/>
      <c r="H67" s="240"/>
      <c r="I67" s="240"/>
      <c r="J67" s="240"/>
      <c r="K67" s="240"/>
      <c r="L67" s="240"/>
      <c r="M67" s="240"/>
      <c r="N67" s="240"/>
      <c r="O67" s="240"/>
      <c r="P67" s="240"/>
      <c r="Q67" s="240"/>
      <c r="R67" s="240"/>
      <c r="S67" s="240"/>
      <c r="T67" s="240"/>
      <c r="U67" s="240"/>
      <c r="V67" s="240"/>
      <c r="W67" s="240"/>
      <c r="X67" s="240"/>
      <c r="Y67" s="240"/>
      <c r="Z67" s="240"/>
      <c r="AA67" s="240"/>
      <c r="AB67" s="240"/>
      <c r="AC67" s="240"/>
    </row>
    <row r="68" spans="1:29" s="237" customFormat="1" ht="18.75" customHeight="1">
      <c r="A68" s="241">
        <v>9</v>
      </c>
      <c r="B68" s="242"/>
      <c r="C68" s="241">
        <v>92116</v>
      </c>
      <c r="D68" s="209"/>
      <c r="E68" s="217">
        <f>U53</f>
        <v>500</v>
      </c>
      <c r="F68" s="240"/>
      <c r="G68" s="240"/>
      <c r="H68" s="240"/>
      <c r="I68" s="240"/>
      <c r="J68" s="240"/>
      <c r="K68" s="240"/>
      <c r="L68" s="240"/>
      <c r="M68" s="240"/>
      <c r="N68" s="240"/>
      <c r="O68" s="240"/>
      <c r="P68" s="240"/>
      <c r="Q68" s="240"/>
      <c r="R68" s="240"/>
      <c r="S68" s="240"/>
      <c r="T68" s="240"/>
      <c r="U68" s="240"/>
      <c r="V68" s="240"/>
      <c r="W68" s="240"/>
      <c r="X68" s="240"/>
      <c r="Y68" s="240"/>
      <c r="Z68" s="240"/>
      <c r="AA68" s="240"/>
      <c r="AB68" s="240"/>
      <c r="AC68" s="240"/>
    </row>
    <row r="69" spans="1:29" s="237" customFormat="1" ht="18.75" customHeight="1">
      <c r="A69" s="241">
        <v>10</v>
      </c>
      <c r="B69" s="243"/>
      <c r="C69" s="241">
        <v>92195</v>
      </c>
      <c r="D69" s="209">
        <f>X53-5000</f>
        <v>21500</v>
      </c>
      <c r="E69" s="217">
        <f>V53+W53+5000</f>
        <v>40960</v>
      </c>
      <c r="F69" s="240"/>
      <c r="G69" s="240"/>
      <c r="H69" s="240"/>
      <c r="I69" s="240"/>
      <c r="J69" s="240"/>
      <c r="K69" s="240"/>
      <c r="L69" s="240"/>
      <c r="M69" s="240"/>
      <c r="N69" s="240"/>
      <c r="O69" s="240"/>
      <c r="P69" s="240"/>
      <c r="Q69" s="240"/>
      <c r="R69" s="240"/>
      <c r="S69" s="240"/>
      <c r="T69" s="240"/>
      <c r="U69" s="240"/>
      <c r="V69" s="240"/>
      <c r="W69" s="240"/>
      <c r="X69" s="240"/>
      <c r="Y69" s="240"/>
      <c r="Z69" s="240"/>
      <c r="AA69" s="240"/>
      <c r="AB69" s="240"/>
      <c r="AC69" s="240"/>
    </row>
    <row r="70" spans="1:29" s="237" customFormat="1" ht="18.75" customHeight="1">
      <c r="A70" s="241">
        <v>11</v>
      </c>
      <c r="B70" s="242" t="s">
        <v>255</v>
      </c>
      <c r="C70" s="241">
        <v>92601</v>
      </c>
      <c r="D70" s="209">
        <f>Z53</f>
        <v>4000</v>
      </c>
      <c r="E70" s="217">
        <f>Y53</f>
        <v>1000</v>
      </c>
      <c r="F70" s="240"/>
      <c r="G70" s="240"/>
      <c r="H70" s="240"/>
      <c r="I70" s="240"/>
      <c r="J70" s="240"/>
      <c r="K70" s="240"/>
      <c r="L70" s="240"/>
      <c r="M70" s="240"/>
      <c r="N70" s="240"/>
      <c r="O70" s="240"/>
      <c r="P70" s="240"/>
      <c r="Q70" s="240"/>
      <c r="R70" s="240"/>
      <c r="S70" s="240"/>
      <c r="T70" s="240"/>
      <c r="U70" s="240"/>
      <c r="V70" s="240"/>
      <c r="W70" s="240"/>
      <c r="X70" s="240"/>
      <c r="Y70" s="240"/>
      <c r="Z70" s="240"/>
      <c r="AA70" s="240"/>
      <c r="AB70" s="240"/>
      <c r="AC70" s="240"/>
    </row>
    <row r="71" spans="1:29" s="237" customFormat="1" ht="18.75" customHeight="1" thickBot="1">
      <c r="A71" s="241">
        <v>12</v>
      </c>
      <c r="B71" s="244"/>
      <c r="C71" s="245">
        <v>92605</v>
      </c>
      <c r="D71" s="231"/>
      <c r="E71" s="221">
        <f>AA53+AB53</f>
        <v>2182</v>
      </c>
      <c r="F71" s="240"/>
      <c r="G71" s="240"/>
      <c r="H71" s="240"/>
      <c r="I71" s="240"/>
      <c r="J71" s="240"/>
      <c r="K71" s="240"/>
      <c r="L71" s="240"/>
      <c r="M71" s="240"/>
      <c r="N71" s="240"/>
      <c r="O71" s="240"/>
      <c r="P71" s="240"/>
      <c r="Q71" s="240"/>
      <c r="R71" s="240"/>
      <c r="S71" s="240"/>
      <c r="T71" s="240"/>
      <c r="U71" s="240"/>
      <c r="V71" s="240"/>
      <c r="W71" s="240"/>
      <c r="X71" s="240"/>
      <c r="Y71" s="240"/>
      <c r="Z71" s="240"/>
      <c r="AA71" s="240"/>
      <c r="AB71" s="240"/>
      <c r="AC71" s="240"/>
    </row>
    <row r="72" spans="1:30" s="237" customFormat="1" ht="18.75" customHeight="1" thickBot="1">
      <c r="A72" s="222"/>
      <c r="B72" s="246" t="s">
        <v>256</v>
      </c>
      <c r="C72" s="246"/>
      <c r="D72" s="247">
        <f>SUM(D60:D71)</f>
        <v>66482</v>
      </c>
      <c r="E72" s="248">
        <f>SUM(E60:E71)</f>
        <v>102180</v>
      </c>
      <c r="F72" s="249"/>
      <c r="G72" s="249"/>
      <c r="H72" s="249"/>
      <c r="I72" s="249"/>
      <c r="J72" s="249"/>
      <c r="K72" s="249"/>
      <c r="L72" s="249"/>
      <c r="M72" s="249"/>
      <c r="N72" s="249"/>
      <c r="O72" s="249"/>
      <c r="P72" s="249"/>
      <c r="Q72" s="249"/>
      <c r="R72" s="249"/>
      <c r="S72" s="249"/>
      <c r="T72" s="249"/>
      <c r="U72" s="249"/>
      <c r="V72" s="249"/>
      <c r="W72" s="249"/>
      <c r="X72" s="249"/>
      <c r="Y72" s="249"/>
      <c r="Z72" s="249"/>
      <c r="AA72" s="249"/>
      <c r="AB72" s="249"/>
      <c r="AC72" s="249"/>
      <c r="AD72" s="250"/>
    </row>
    <row r="75" ht="12.75">
      <c r="E75" s="251"/>
    </row>
  </sheetData>
  <mergeCells count="71">
    <mergeCell ref="AA53:AA54"/>
    <mergeCell ref="AD34:AD40"/>
    <mergeCell ref="AD41:AD45"/>
    <mergeCell ref="AB53:AB54"/>
    <mergeCell ref="Z53:Z54"/>
    <mergeCell ref="AD6:AD7"/>
    <mergeCell ref="AD8:AD11"/>
    <mergeCell ref="AD12:AD15"/>
    <mergeCell ref="AD47:AD52"/>
    <mergeCell ref="AD53:AD54"/>
    <mergeCell ref="AD16:AD20"/>
    <mergeCell ref="AD21:AD23"/>
    <mergeCell ref="AD26:AD30"/>
    <mergeCell ref="AD31:AD33"/>
    <mergeCell ref="A12:A15"/>
    <mergeCell ref="B12:B15"/>
    <mergeCell ref="C12:C15"/>
    <mergeCell ref="A6:A7"/>
    <mergeCell ref="B6:B7"/>
    <mergeCell ref="C6:C7"/>
    <mergeCell ref="A8:A11"/>
    <mergeCell ref="B8:B11"/>
    <mergeCell ref="C8:C11"/>
    <mergeCell ref="B47:B52"/>
    <mergeCell ref="Q53:Q54"/>
    <mergeCell ref="A16:A20"/>
    <mergeCell ref="B16:B20"/>
    <mergeCell ref="C16:C20"/>
    <mergeCell ref="P53:P54"/>
    <mergeCell ref="A21:A23"/>
    <mergeCell ref="J53:J54"/>
    <mergeCell ref="B21:B23"/>
    <mergeCell ref="C21:C23"/>
    <mergeCell ref="A26:A30"/>
    <mergeCell ref="B26:B30"/>
    <mergeCell ref="C26:C30"/>
    <mergeCell ref="N53:N54"/>
    <mergeCell ref="E53:E54"/>
    <mergeCell ref="A31:A33"/>
    <mergeCell ref="B31:B33"/>
    <mergeCell ref="C31:C33"/>
    <mergeCell ref="M53:M54"/>
    <mergeCell ref="C41:C45"/>
    <mergeCell ref="A34:A40"/>
    <mergeCell ref="B34:B40"/>
    <mergeCell ref="C34:C40"/>
    <mergeCell ref="I53:I54"/>
    <mergeCell ref="A41:A45"/>
    <mergeCell ref="B41:B45"/>
    <mergeCell ref="C47:C52"/>
    <mergeCell ref="F53:F54"/>
    <mergeCell ref="H53:H54"/>
    <mergeCell ref="A47:A52"/>
    <mergeCell ref="S53:S54"/>
    <mergeCell ref="A56:E57"/>
    <mergeCell ref="A53:B54"/>
    <mergeCell ref="C53:C54"/>
    <mergeCell ref="D53:D54"/>
    <mergeCell ref="L53:L54"/>
    <mergeCell ref="O53:O54"/>
    <mergeCell ref="K53:K54"/>
    <mergeCell ref="A2:E2"/>
    <mergeCell ref="Y53:Y54"/>
    <mergeCell ref="AC53:AC54"/>
    <mergeCell ref="G53:G54"/>
    <mergeCell ref="T53:T54"/>
    <mergeCell ref="V53:V54"/>
    <mergeCell ref="W53:W54"/>
    <mergeCell ref="X53:X54"/>
    <mergeCell ref="R53:R54"/>
    <mergeCell ref="U53:U54"/>
  </mergeCells>
  <printOptions horizontalCentered="1"/>
  <pageMargins left="0.5118110236220472" right="0.5118110236220472" top="0.83" bottom="0.5511811023622047" header="0.15748031496062992" footer="0.15748031496062992"/>
  <pageSetup fitToHeight="2" fitToWidth="1" horizontalDpi="600" verticalDpi="600" orientation="portrait" paperSize="9" r:id="rId1"/>
  <headerFooter alignWithMargins="0">
    <oddHeader xml:space="preserve">&amp;R&amp;"Arial CE,Pogrubiony"Załącznik Nr &amp;A&amp;"Arial CE,Standardowy"
do Uchwały Nr XXVIII/177/2012 
Rady Gminy Miłkowice
z dnia 28 grudnia 2012r. </oddHeader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7"/>
  <sheetViews>
    <sheetView zoomScale="90" zoomScaleNormal="90" workbookViewId="0" topLeftCell="A34">
      <selection activeCell="G39" sqref="G39"/>
    </sheetView>
  </sheetViews>
  <sheetFormatPr defaultColWidth="9.33203125" defaultRowHeight="12.75"/>
  <cols>
    <col min="1" max="1" width="4.33203125" style="358" customWidth="1"/>
    <col min="2" max="2" width="8.83203125" style="358" customWidth="1"/>
    <col min="3" max="3" width="10.83203125" style="358" customWidth="1"/>
    <col min="4" max="4" width="21.5" style="358" customWidth="1"/>
    <col min="5" max="5" width="26.5" style="358" customWidth="1"/>
    <col min="6" max="6" width="33" style="358" customWidth="1"/>
    <col min="7" max="7" width="16" style="358" customWidth="1"/>
    <col min="8" max="8" width="2.16015625" style="358" customWidth="1"/>
    <col min="9" max="9" width="15.33203125" style="358" customWidth="1"/>
    <col min="10" max="16384" width="10" style="358" customWidth="1"/>
  </cols>
  <sheetData>
    <row r="1" spans="1:7" ht="24" customHeight="1">
      <c r="A1" s="578" t="s">
        <v>298</v>
      </c>
      <c r="B1" s="578"/>
      <c r="C1" s="578"/>
      <c r="D1" s="578"/>
      <c r="E1" s="578"/>
      <c r="F1" s="578"/>
      <c r="G1" s="578"/>
    </row>
    <row r="2" ht="4.5" customHeight="1">
      <c r="G2" s="359"/>
    </row>
    <row r="3" spans="1:7" s="362" customFormat="1" ht="22.5" customHeight="1">
      <c r="A3" s="360" t="s">
        <v>41</v>
      </c>
      <c r="B3" s="360" t="s">
        <v>0</v>
      </c>
      <c r="C3" s="360" t="s">
        <v>1</v>
      </c>
      <c r="D3" s="360" t="s">
        <v>293</v>
      </c>
      <c r="E3" s="360" t="s">
        <v>299</v>
      </c>
      <c r="F3" s="360" t="s">
        <v>300</v>
      </c>
      <c r="G3" s="361" t="s">
        <v>301</v>
      </c>
    </row>
    <row r="4" spans="1:7" ht="7.5" customHeight="1">
      <c r="A4" s="363">
        <v>1</v>
      </c>
      <c r="B4" s="363">
        <v>2</v>
      </c>
      <c r="C4" s="363">
        <v>3</v>
      </c>
      <c r="D4" s="363"/>
      <c r="E4" s="363">
        <v>4</v>
      </c>
      <c r="F4" s="363">
        <v>5</v>
      </c>
      <c r="G4" s="363">
        <v>6</v>
      </c>
    </row>
    <row r="5" spans="1:7" ht="15" customHeight="1">
      <c r="A5" s="364" t="s">
        <v>302</v>
      </c>
      <c r="B5" s="365"/>
      <c r="C5" s="365"/>
      <c r="D5" s="365"/>
      <c r="E5" s="365"/>
      <c r="F5" s="365"/>
      <c r="G5" s="366">
        <f>G6</f>
        <v>955000</v>
      </c>
    </row>
    <row r="6" spans="1:7" ht="15.75" customHeight="1">
      <c r="A6" s="367" t="s">
        <v>303</v>
      </c>
      <c r="B6" s="368"/>
      <c r="C6" s="368"/>
      <c r="D6" s="368"/>
      <c r="E6" s="368"/>
      <c r="F6" s="368"/>
      <c r="G6" s="369">
        <f>SUM(G7:G13)</f>
        <v>955000</v>
      </c>
    </row>
    <row r="7" spans="1:256" ht="30" customHeight="1">
      <c r="A7" s="370">
        <v>1</v>
      </c>
      <c r="B7" s="371" t="s">
        <v>247</v>
      </c>
      <c r="C7" s="371" t="s">
        <v>265</v>
      </c>
      <c r="D7" s="372" t="s">
        <v>304</v>
      </c>
      <c r="E7" s="580" t="s">
        <v>305</v>
      </c>
      <c r="F7" s="373" t="s">
        <v>354</v>
      </c>
      <c r="G7" s="374">
        <f>204320-320</f>
        <v>204000</v>
      </c>
      <c r="H7" s="375"/>
      <c r="I7" s="375"/>
      <c r="J7" s="375"/>
      <c r="K7" s="375"/>
      <c r="L7" s="375"/>
      <c r="M7" s="375"/>
      <c r="N7" s="375"/>
      <c r="O7" s="375"/>
      <c r="P7" s="375"/>
      <c r="Q7" s="375"/>
      <c r="R7" s="375"/>
      <c r="S7" s="375"/>
      <c r="T7" s="375"/>
      <c r="U7" s="375"/>
      <c r="V7" s="375"/>
      <c r="W7" s="375"/>
      <c r="X7" s="375"/>
      <c r="Y7" s="375"/>
      <c r="Z7" s="375"/>
      <c r="AA7" s="375"/>
      <c r="AB7" s="375"/>
      <c r="AC7" s="375"/>
      <c r="AD7" s="375"/>
      <c r="AE7" s="375"/>
      <c r="AF7" s="375"/>
      <c r="AG7" s="375"/>
      <c r="AH7" s="375"/>
      <c r="AI7" s="375"/>
      <c r="AJ7" s="375"/>
      <c r="AK7" s="375"/>
      <c r="AL7" s="375"/>
      <c r="AM7" s="375"/>
      <c r="AN7" s="375"/>
      <c r="AO7" s="375"/>
      <c r="AP7" s="375"/>
      <c r="AQ7" s="375"/>
      <c r="AR7" s="375"/>
      <c r="AS7" s="375"/>
      <c r="AT7" s="375"/>
      <c r="AU7" s="375"/>
      <c r="AV7" s="375"/>
      <c r="AW7" s="375"/>
      <c r="AX7" s="375"/>
      <c r="AY7" s="375"/>
      <c r="AZ7" s="375"/>
      <c r="BA7" s="375"/>
      <c r="BB7" s="375"/>
      <c r="BC7" s="375"/>
      <c r="BD7" s="375"/>
      <c r="BE7" s="375"/>
      <c r="BF7" s="375"/>
      <c r="BG7" s="375"/>
      <c r="BH7" s="375"/>
      <c r="BI7" s="375"/>
      <c r="BJ7" s="375"/>
      <c r="BK7" s="375"/>
      <c r="BL7" s="375"/>
      <c r="BM7" s="375"/>
      <c r="BN7" s="375"/>
      <c r="BO7" s="375"/>
      <c r="BP7" s="375"/>
      <c r="BQ7" s="375"/>
      <c r="BR7" s="375"/>
      <c r="BS7" s="375"/>
      <c r="BT7" s="375"/>
      <c r="BU7" s="375"/>
      <c r="BV7" s="375"/>
      <c r="BW7" s="375"/>
      <c r="BX7" s="375"/>
      <c r="BY7" s="375"/>
      <c r="BZ7" s="375"/>
      <c r="CA7" s="375"/>
      <c r="CB7" s="375"/>
      <c r="CC7" s="375"/>
      <c r="CD7" s="375"/>
      <c r="CE7" s="375"/>
      <c r="CF7" s="375"/>
      <c r="CG7" s="375"/>
      <c r="CH7" s="375"/>
      <c r="CI7" s="375"/>
      <c r="CJ7" s="375"/>
      <c r="CK7" s="375"/>
      <c r="CL7" s="375"/>
      <c r="CM7" s="375"/>
      <c r="CN7" s="375"/>
      <c r="CO7" s="375"/>
      <c r="CP7" s="375"/>
      <c r="CQ7" s="375"/>
      <c r="CR7" s="375"/>
      <c r="CS7" s="375"/>
      <c r="CT7" s="375"/>
      <c r="CU7" s="375"/>
      <c r="CV7" s="375"/>
      <c r="CW7" s="375"/>
      <c r="CX7" s="375"/>
      <c r="CY7" s="375"/>
      <c r="CZ7" s="375"/>
      <c r="DA7" s="375"/>
      <c r="DB7" s="375"/>
      <c r="DC7" s="375"/>
      <c r="DD7" s="375"/>
      <c r="DE7" s="375"/>
      <c r="DF7" s="375"/>
      <c r="DG7" s="375"/>
      <c r="DH7" s="375"/>
      <c r="DI7" s="375"/>
      <c r="DJ7" s="375"/>
      <c r="DK7" s="375"/>
      <c r="DL7" s="375"/>
      <c r="DM7" s="375"/>
      <c r="DN7" s="375"/>
      <c r="DO7" s="375"/>
      <c r="DP7" s="375"/>
      <c r="DQ7" s="375"/>
      <c r="DR7" s="375"/>
      <c r="DS7" s="375"/>
      <c r="DT7" s="375"/>
      <c r="DU7" s="375"/>
      <c r="DV7" s="375"/>
      <c r="DW7" s="375"/>
      <c r="DX7" s="375"/>
      <c r="DY7" s="375"/>
      <c r="DZ7" s="375"/>
      <c r="EA7" s="375"/>
      <c r="EB7" s="375"/>
      <c r="EC7" s="375"/>
      <c r="ED7" s="375"/>
      <c r="EE7" s="375"/>
      <c r="EF7" s="375"/>
      <c r="EG7" s="375"/>
      <c r="EH7" s="375"/>
      <c r="EI7" s="375"/>
      <c r="EJ7" s="375"/>
      <c r="EK7" s="375"/>
      <c r="EL7" s="375"/>
      <c r="EM7" s="375"/>
      <c r="EN7" s="375"/>
      <c r="EO7" s="375"/>
      <c r="EP7" s="375"/>
      <c r="EQ7" s="375"/>
      <c r="ER7" s="375"/>
      <c r="ES7" s="375"/>
      <c r="ET7" s="375"/>
      <c r="EU7" s="375"/>
      <c r="EV7" s="375"/>
      <c r="EW7" s="375"/>
      <c r="EX7" s="375"/>
      <c r="EY7" s="375"/>
      <c r="EZ7" s="375"/>
      <c r="FA7" s="375"/>
      <c r="FB7" s="375"/>
      <c r="FC7" s="375"/>
      <c r="FD7" s="375"/>
      <c r="FE7" s="375"/>
      <c r="FF7" s="375"/>
      <c r="FG7" s="375"/>
      <c r="FH7" s="375"/>
      <c r="FI7" s="375"/>
      <c r="FJ7" s="375"/>
      <c r="FK7" s="375"/>
      <c r="FL7" s="375"/>
      <c r="FM7" s="375"/>
      <c r="FN7" s="375"/>
      <c r="FO7" s="375"/>
      <c r="FP7" s="375"/>
      <c r="FQ7" s="375"/>
      <c r="FR7" s="375"/>
      <c r="FS7" s="375"/>
      <c r="FT7" s="375"/>
      <c r="FU7" s="375"/>
      <c r="FV7" s="375"/>
      <c r="FW7" s="375"/>
      <c r="FX7" s="375"/>
      <c r="FY7" s="375"/>
      <c r="FZ7" s="375"/>
      <c r="GA7" s="375"/>
      <c r="GB7" s="375"/>
      <c r="GC7" s="375"/>
      <c r="GD7" s="375"/>
      <c r="GE7" s="375"/>
      <c r="GF7" s="375"/>
      <c r="GG7" s="375"/>
      <c r="GH7" s="375"/>
      <c r="GI7" s="375"/>
      <c r="GJ7" s="375"/>
      <c r="GK7" s="375"/>
      <c r="GL7" s="375"/>
      <c r="GM7" s="375"/>
      <c r="GN7" s="375"/>
      <c r="GO7" s="375"/>
      <c r="GP7" s="375"/>
      <c r="GQ7" s="375"/>
      <c r="GR7" s="375"/>
      <c r="GS7" s="375"/>
      <c r="GT7" s="375"/>
      <c r="GU7" s="375"/>
      <c r="GV7" s="375"/>
      <c r="GW7" s="375"/>
      <c r="GX7" s="375"/>
      <c r="GY7" s="375"/>
      <c r="GZ7" s="375"/>
      <c r="HA7" s="375"/>
      <c r="HB7" s="375"/>
      <c r="HC7" s="375"/>
      <c r="HD7" s="375"/>
      <c r="HE7" s="375"/>
      <c r="HF7" s="375"/>
      <c r="HG7" s="375"/>
      <c r="HH7" s="375"/>
      <c r="HI7" s="375"/>
      <c r="HJ7" s="375"/>
      <c r="HK7" s="375"/>
      <c r="HL7" s="375"/>
      <c r="HM7" s="375"/>
      <c r="HN7" s="375"/>
      <c r="HO7" s="375"/>
      <c r="HP7" s="375"/>
      <c r="HQ7" s="375"/>
      <c r="HR7" s="375"/>
      <c r="HS7" s="375"/>
      <c r="HT7" s="375"/>
      <c r="HU7" s="375"/>
      <c r="HV7" s="375"/>
      <c r="HW7" s="375"/>
      <c r="HX7" s="375"/>
      <c r="HY7" s="375"/>
      <c r="HZ7" s="375"/>
      <c r="IA7" s="375"/>
      <c r="IB7" s="375"/>
      <c r="IC7" s="375"/>
      <c r="ID7" s="375"/>
      <c r="IE7" s="375"/>
      <c r="IF7" s="375"/>
      <c r="IG7" s="375"/>
      <c r="IH7" s="375"/>
      <c r="II7" s="375"/>
      <c r="IJ7" s="375"/>
      <c r="IK7" s="375"/>
      <c r="IL7" s="375"/>
      <c r="IM7" s="375"/>
      <c r="IN7" s="375"/>
      <c r="IO7" s="375"/>
      <c r="IP7" s="375"/>
      <c r="IQ7" s="375"/>
      <c r="IR7" s="375"/>
      <c r="IS7" s="375"/>
      <c r="IT7" s="375"/>
      <c r="IU7" s="375"/>
      <c r="IV7" s="375"/>
    </row>
    <row r="8" spans="1:256" ht="30" customHeight="1">
      <c r="A8" s="370">
        <v>2</v>
      </c>
      <c r="B8" s="376">
        <v>400</v>
      </c>
      <c r="C8" s="376">
        <v>40002</v>
      </c>
      <c r="D8" s="376" t="s">
        <v>306</v>
      </c>
      <c r="E8" s="581"/>
      <c r="F8" s="373" t="s">
        <v>355</v>
      </c>
      <c r="G8" s="374">
        <f>351200-200</f>
        <v>351000</v>
      </c>
      <c r="H8" s="375"/>
      <c r="I8" s="375"/>
      <c r="J8" s="375"/>
      <c r="K8" s="375"/>
      <c r="L8" s="375"/>
      <c r="M8" s="375"/>
      <c r="N8" s="375"/>
      <c r="O8" s="375"/>
      <c r="P8" s="375"/>
      <c r="Q8" s="375"/>
      <c r="R8" s="375"/>
      <c r="S8" s="375"/>
      <c r="T8" s="375"/>
      <c r="U8" s="375"/>
      <c r="V8" s="375"/>
      <c r="W8" s="375"/>
      <c r="X8" s="375"/>
      <c r="Y8" s="375"/>
      <c r="Z8" s="375"/>
      <c r="AA8" s="375"/>
      <c r="AB8" s="375"/>
      <c r="AC8" s="375"/>
      <c r="AD8" s="375"/>
      <c r="AE8" s="375"/>
      <c r="AF8" s="375"/>
      <c r="AG8" s="375"/>
      <c r="AH8" s="375"/>
      <c r="AI8" s="375"/>
      <c r="AJ8" s="375"/>
      <c r="AK8" s="375"/>
      <c r="AL8" s="375"/>
      <c r="AM8" s="375"/>
      <c r="AN8" s="375"/>
      <c r="AO8" s="375"/>
      <c r="AP8" s="375"/>
      <c r="AQ8" s="375"/>
      <c r="AR8" s="375"/>
      <c r="AS8" s="375"/>
      <c r="AT8" s="375"/>
      <c r="AU8" s="375"/>
      <c r="AV8" s="375"/>
      <c r="AW8" s="375"/>
      <c r="AX8" s="375"/>
      <c r="AY8" s="375"/>
      <c r="AZ8" s="375"/>
      <c r="BA8" s="375"/>
      <c r="BB8" s="375"/>
      <c r="BC8" s="375"/>
      <c r="BD8" s="375"/>
      <c r="BE8" s="375"/>
      <c r="BF8" s="375"/>
      <c r="BG8" s="375"/>
      <c r="BH8" s="375"/>
      <c r="BI8" s="375"/>
      <c r="BJ8" s="375"/>
      <c r="BK8" s="375"/>
      <c r="BL8" s="375"/>
      <c r="BM8" s="375"/>
      <c r="BN8" s="375"/>
      <c r="BO8" s="375"/>
      <c r="BP8" s="375"/>
      <c r="BQ8" s="375"/>
      <c r="BR8" s="375"/>
      <c r="BS8" s="375"/>
      <c r="BT8" s="375"/>
      <c r="BU8" s="375"/>
      <c r="BV8" s="375"/>
      <c r="BW8" s="375"/>
      <c r="BX8" s="375"/>
      <c r="BY8" s="375"/>
      <c r="BZ8" s="375"/>
      <c r="CA8" s="375"/>
      <c r="CB8" s="375"/>
      <c r="CC8" s="375"/>
      <c r="CD8" s="375"/>
      <c r="CE8" s="375"/>
      <c r="CF8" s="375"/>
      <c r="CG8" s="375"/>
      <c r="CH8" s="375"/>
      <c r="CI8" s="375"/>
      <c r="CJ8" s="375"/>
      <c r="CK8" s="375"/>
      <c r="CL8" s="375"/>
      <c r="CM8" s="375"/>
      <c r="CN8" s="375"/>
      <c r="CO8" s="375"/>
      <c r="CP8" s="375"/>
      <c r="CQ8" s="375"/>
      <c r="CR8" s="375"/>
      <c r="CS8" s="375"/>
      <c r="CT8" s="375"/>
      <c r="CU8" s="375"/>
      <c r="CV8" s="375"/>
      <c r="CW8" s="375"/>
      <c r="CX8" s="375"/>
      <c r="CY8" s="375"/>
      <c r="CZ8" s="375"/>
      <c r="DA8" s="375"/>
      <c r="DB8" s="375"/>
      <c r="DC8" s="375"/>
      <c r="DD8" s="375"/>
      <c r="DE8" s="375"/>
      <c r="DF8" s="375"/>
      <c r="DG8" s="375"/>
      <c r="DH8" s="375"/>
      <c r="DI8" s="375"/>
      <c r="DJ8" s="375"/>
      <c r="DK8" s="375"/>
      <c r="DL8" s="375"/>
      <c r="DM8" s="375"/>
      <c r="DN8" s="375"/>
      <c r="DO8" s="375"/>
      <c r="DP8" s="375"/>
      <c r="DQ8" s="375"/>
      <c r="DR8" s="375"/>
      <c r="DS8" s="375"/>
      <c r="DT8" s="375"/>
      <c r="DU8" s="375"/>
      <c r="DV8" s="375"/>
      <c r="DW8" s="375"/>
      <c r="DX8" s="375"/>
      <c r="DY8" s="375"/>
      <c r="DZ8" s="375"/>
      <c r="EA8" s="375"/>
      <c r="EB8" s="375"/>
      <c r="EC8" s="375"/>
      <c r="ED8" s="375"/>
      <c r="EE8" s="375"/>
      <c r="EF8" s="375"/>
      <c r="EG8" s="375"/>
      <c r="EH8" s="375"/>
      <c r="EI8" s="375"/>
      <c r="EJ8" s="375"/>
      <c r="EK8" s="375"/>
      <c r="EL8" s="375"/>
      <c r="EM8" s="375"/>
      <c r="EN8" s="375"/>
      <c r="EO8" s="375"/>
      <c r="EP8" s="375"/>
      <c r="EQ8" s="375"/>
      <c r="ER8" s="375"/>
      <c r="ES8" s="375"/>
      <c r="ET8" s="375"/>
      <c r="EU8" s="375"/>
      <c r="EV8" s="375"/>
      <c r="EW8" s="375"/>
      <c r="EX8" s="375"/>
      <c r="EY8" s="375"/>
      <c r="EZ8" s="375"/>
      <c r="FA8" s="375"/>
      <c r="FB8" s="375"/>
      <c r="FC8" s="375"/>
      <c r="FD8" s="375"/>
      <c r="FE8" s="375"/>
      <c r="FF8" s="375"/>
      <c r="FG8" s="375"/>
      <c r="FH8" s="375"/>
      <c r="FI8" s="375"/>
      <c r="FJ8" s="375"/>
      <c r="FK8" s="375"/>
      <c r="FL8" s="375"/>
      <c r="FM8" s="375"/>
      <c r="FN8" s="375"/>
      <c r="FO8" s="375"/>
      <c r="FP8" s="375"/>
      <c r="FQ8" s="375"/>
      <c r="FR8" s="375"/>
      <c r="FS8" s="375"/>
      <c r="FT8" s="375"/>
      <c r="FU8" s="375"/>
      <c r="FV8" s="375"/>
      <c r="FW8" s="375"/>
      <c r="FX8" s="375"/>
      <c r="FY8" s="375"/>
      <c r="FZ8" s="375"/>
      <c r="GA8" s="375"/>
      <c r="GB8" s="375"/>
      <c r="GC8" s="375"/>
      <c r="GD8" s="375"/>
      <c r="GE8" s="375"/>
      <c r="GF8" s="375"/>
      <c r="GG8" s="375"/>
      <c r="GH8" s="375"/>
      <c r="GI8" s="375"/>
      <c r="GJ8" s="375"/>
      <c r="GK8" s="375"/>
      <c r="GL8" s="375"/>
      <c r="GM8" s="375"/>
      <c r="GN8" s="375"/>
      <c r="GO8" s="375"/>
      <c r="GP8" s="375"/>
      <c r="GQ8" s="375"/>
      <c r="GR8" s="375"/>
      <c r="GS8" s="375"/>
      <c r="GT8" s="375"/>
      <c r="GU8" s="375"/>
      <c r="GV8" s="375"/>
      <c r="GW8" s="375"/>
      <c r="GX8" s="375"/>
      <c r="GY8" s="375"/>
      <c r="GZ8" s="375"/>
      <c r="HA8" s="375"/>
      <c r="HB8" s="375"/>
      <c r="HC8" s="375"/>
      <c r="HD8" s="375"/>
      <c r="HE8" s="375"/>
      <c r="HF8" s="375"/>
      <c r="HG8" s="375"/>
      <c r="HH8" s="375"/>
      <c r="HI8" s="375"/>
      <c r="HJ8" s="375"/>
      <c r="HK8" s="375"/>
      <c r="HL8" s="375"/>
      <c r="HM8" s="375"/>
      <c r="HN8" s="375"/>
      <c r="HO8" s="375"/>
      <c r="HP8" s="375"/>
      <c r="HQ8" s="375"/>
      <c r="HR8" s="375"/>
      <c r="HS8" s="375"/>
      <c r="HT8" s="375"/>
      <c r="HU8" s="375"/>
      <c r="HV8" s="375"/>
      <c r="HW8" s="375"/>
      <c r="HX8" s="375"/>
      <c r="HY8" s="375"/>
      <c r="HZ8" s="375"/>
      <c r="IA8" s="375"/>
      <c r="IB8" s="375"/>
      <c r="IC8" s="375"/>
      <c r="ID8" s="375"/>
      <c r="IE8" s="375"/>
      <c r="IF8" s="375"/>
      <c r="IG8" s="375"/>
      <c r="IH8" s="375"/>
      <c r="II8" s="375"/>
      <c r="IJ8" s="375"/>
      <c r="IK8" s="375"/>
      <c r="IL8" s="375"/>
      <c r="IM8" s="375"/>
      <c r="IN8" s="375"/>
      <c r="IO8" s="375"/>
      <c r="IP8" s="375"/>
      <c r="IQ8" s="375"/>
      <c r="IR8" s="375"/>
      <c r="IS8" s="375"/>
      <c r="IT8" s="375"/>
      <c r="IU8" s="375"/>
      <c r="IV8" s="375"/>
    </row>
    <row r="9" spans="1:256" ht="30" customHeight="1">
      <c r="A9" s="370">
        <v>3</v>
      </c>
      <c r="B9" s="376">
        <v>600</v>
      </c>
      <c r="C9" s="376">
        <v>60016</v>
      </c>
      <c r="D9" s="372" t="s">
        <v>26</v>
      </c>
      <c r="E9" s="581"/>
      <c r="F9" s="373" t="s">
        <v>307</v>
      </c>
      <c r="G9" s="374">
        <f>93000-22000+9000+1000+7000</f>
        <v>88000</v>
      </c>
      <c r="H9" s="375"/>
      <c r="I9" s="375"/>
      <c r="J9" s="375"/>
      <c r="K9" s="375"/>
      <c r="L9" s="375"/>
      <c r="M9" s="375"/>
      <c r="N9" s="375"/>
      <c r="O9" s="375"/>
      <c r="P9" s="375"/>
      <c r="Q9" s="375"/>
      <c r="R9" s="375"/>
      <c r="S9" s="375"/>
      <c r="T9" s="375"/>
      <c r="U9" s="375"/>
      <c r="V9" s="375"/>
      <c r="W9" s="375"/>
      <c r="X9" s="375"/>
      <c r="Y9" s="375"/>
      <c r="Z9" s="375"/>
      <c r="AA9" s="375"/>
      <c r="AB9" s="375"/>
      <c r="AC9" s="375"/>
      <c r="AD9" s="375"/>
      <c r="AE9" s="375"/>
      <c r="AF9" s="375"/>
      <c r="AG9" s="375"/>
      <c r="AH9" s="375"/>
      <c r="AI9" s="375"/>
      <c r="AJ9" s="375"/>
      <c r="AK9" s="375"/>
      <c r="AL9" s="375"/>
      <c r="AM9" s="375"/>
      <c r="AN9" s="375"/>
      <c r="AO9" s="375"/>
      <c r="AP9" s="375"/>
      <c r="AQ9" s="375"/>
      <c r="AR9" s="375"/>
      <c r="AS9" s="375"/>
      <c r="AT9" s="375"/>
      <c r="AU9" s="375"/>
      <c r="AV9" s="375"/>
      <c r="AW9" s="375"/>
      <c r="AX9" s="375"/>
      <c r="AY9" s="375"/>
      <c r="AZ9" s="375"/>
      <c r="BA9" s="375"/>
      <c r="BB9" s="375"/>
      <c r="BC9" s="375"/>
      <c r="BD9" s="375"/>
      <c r="BE9" s="375"/>
      <c r="BF9" s="375"/>
      <c r="BG9" s="375"/>
      <c r="BH9" s="375"/>
      <c r="BI9" s="375"/>
      <c r="BJ9" s="375"/>
      <c r="BK9" s="375"/>
      <c r="BL9" s="375"/>
      <c r="BM9" s="375"/>
      <c r="BN9" s="375"/>
      <c r="BO9" s="375"/>
      <c r="BP9" s="375"/>
      <c r="BQ9" s="375"/>
      <c r="BR9" s="375"/>
      <c r="BS9" s="375"/>
      <c r="BT9" s="375"/>
      <c r="BU9" s="375"/>
      <c r="BV9" s="375"/>
      <c r="BW9" s="375"/>
      <c r="BX9" s="375"/>
      <c r="BY9" s="375"/>
      <c r="BZ9" s="375"/>
      <c r="CA9" s="375"/>
      <c r="CB9" s="375"/>
      <c r="CC9" s="375"/>
      <c r="CD9" s="375"/>
      <c r="CE9" s="375"/>
      <c r="CF9" s="375"/>
      <c r="CG9" s="375"/>
      <c r="CH9" s="375"/>
      <c r="CI9" s="375"/>
      <c r="CJ9" s="375"/>
      <c r="CK9" s="375"/>
      <c r="CL9" s="375"/>
      <c r="CM9" s="375"/>
      <c r="CN9" s="375"/>
      <c r="CO9" s="375"/>
      <c r="CP9" s="375"/>
      <c r="CQ9" s="375"/>
      <c r="CR9" s="375"/>
      <c r="CS9" s="375"/>
      <c r="CT9" s="375"/>
      <c r="CU9" s="375"/>
      <c r="CV9" s="375"/>
      <c r="CW9" s="375"/>
      <c r="CX9" s="375"/>
      <c r="CY9" s="375"/>
      <c r="CZ9" s="375"/>
      <c r="DA9" s="375"/>
      <c r="DB9" s="375"/>
      <c r="DC9" s="375"/>
      <c r="DD9" s="375"/>
      <c r="DE9" s="375"/>
      <c r="DF9" s="375"/>
      <c r="DG9" s="375"/>
      <c r="DH9" s="375"/>
      <c r="DI9" s="375"/>
      <c r="DJ9" s="375"/>
      <c r="DK9" s="375"/>
      <c r="DL9" s="375"/>
      <c r="DM9" s="375"/>
      <c r="DN9" s="375"/>
      <c r="DO9" s="375"/>
      <c r="DP9" s="375"/>
      <c r="DQ9" s="375"/>
      <c r="DR9" s="375"/>
      <c r="DS9" s="375"/>
      <c r="DT9" s="375"/>
      <c r="DU9" s="375"/>
      <c r="DV9" s="375"/>
      <c r="DW9" s="375"/>
      <c r="DX9" s="375"/>
      <c r="DY9" s="375"/>
      <c r="DZ9" s="375"/>
      <c r="EA9" s="375"/>
      <c r="EB9" s="375"/>
      <c r="EC9" s="375"/>
      <c r="ED9" s="375"/>
      <c r="EE9" s="375"/>
      <c r="EF9" s="375"/>
      <c r="EG9" s="375"/>
      <c r="EH9" s="375"/>
      <c r="EI9" s="375"/>
      <c r="EJ9" s="375"/>
      <c r="EK9" s="375"/>
      <c r="EL9" s="375"/>
      <c r="EM9" s="375"/>
      <c r="EN9" s="375"/>
      <c r="EO9" s="375"/>
      <c r="EP9" s="375"/>
      <c r="EQ9" s="375"/>
      <c r="ER9" s="375"/>
      <c r="ES9" s="375"/>
      <c r="ET9" s="375"/>
      <c r="EU9" s="375"/>
      <c r="EV9" s="375"/>
      <c r="EW9" s="375"/>
      <c r="EX9" s="375"/>
      <c r="EY9" s="375"/>
      <c r="EZ9" s="375"/>
      <c r="FA9" s="375"/>
      <c r="FB9" s="375"/>
      <c r="FC9" s="375"/>
      <c r="FD9" s="375"/>
      <c r="FE9" s="375"/>
      <c r="FF9" s="375"/>
      <c r="FG9" s="375"/>
      <c r="FH9" s="375"/>
      <c r="FI9" s="375"/>
      <c r="FJ9" s="375"/>
      <c r="FK9" s="375"/>
      <c r="FL9" s="375"/>
      <c r="FM9" s="375"/>
      <c r="FN9" s="375"/>
      <c r="FO9" s="375"/>
      <c r="FP9" s="375"/>
      <c r="FQ9" s="375"/>
      <c r="FR9" s="375"/>
      <c r="FS9" s="375"/>
      <c r="FT9" s="375"/>
      <c r="FU9" s="375"/>
      <c r="FV9" s="375"/>
      <c r="FW9" s="375"/>
      <c r="FX9" s="375"/>
      <c r="FY9" s="375"/>
      <c r="FZ9" s="375"/>
      <c r="GA9" s="375"/>
      <c r="GB9" s="375"/>
      <c r="GC9" s="375"/>
      <c r="GD9" s="375"/>
      <c r="GE9" s="375"/>
      <c r="GF9" s="375"/>
      <c r="GG9" s="375"/>
      <c r="GH9" s="375"/>
      <c r="GI9" s="375"/>
      <c r="GJ9" s="375"/>
      <c r="GK9" s="375"/>
      <c r="GL9" s="375"/>
      <c r="GM9" s="375"/>
      <c r="GN9" s="375"/>
      <c r="GO9" s="375"/>
      <c r="GP9" s="375"/>
      <c r="GQ9" s="375"/>
      <c r="GR9" s="375"/>
      <c r="GS9" s="375"/>
      <c r="GT9" s="375"/>
      <c r="GU9" s="375"/>
      <c r="GV9" s="375"/>
      <c r="GW9" s="375"/>
      <c r="GX9" s="375"/>
      <c r="GY9" s="375"/>
      <c r="GZ9" s="375"/>
      <c r="HA9" s="375"/>
      <c r="HB9" s="375"/>
      <c r="HC9" s="375"/>
      <c r="HD9" s="375"/>
      <c r="HE9" s="375"/>
      <c r="HF9" s="375"/>
      <c r="HG9" s="375"/>
      <c r="HH9" s="375"/>
      <c r="HI9" s="375"/>
      <c r="HJ9" s="375"/>
      <c r="HK9" s="375"/>
      <c r="HL9" s="375"/>
      <c r="HM9" s="375"/>
      <c r="HN9" s="375"/>
      <c r="HO9" s="375"/>
      <c r="HP9" s="375"/>
      <c r="HQ9" s="375"/>
      <c r="HR9" s="375"/>
      <c r="HS9" s="375"/>
      <c r="HT9" s="375"/>
      <c r="HU9" s="375"/>
      <c r="HV9" s="375"/>
      <c r="HW9" s="375"/>
      <c r="HX9" s="375"/>
      <c r="HY9" s="375"/>
      <c r="HZ9" s="375"/>
      <c r="IA9" s="375"/>
      <c r="IB9" s="375"/>
      <c r="IC9" s="375"/>
      <c r="ID9" s="375"/>
      <c r="IE9" s="375"/>
      <c r="IF9" s="375"/>
      <c r="IG9" s="375"/>
      <c r="IH9" s="375"/>
      <c r="II9" s="375"/>
      <c r="IJ9" s="375"/>
      <c r="IK9" s="375"/>
      <c r="IL9" s="375"/>
      <c r="IM9" s="375"/>
      <c r="IN9" s="375"/>
      <c r="IO9" s="375"/>
      <c r="IP9" s="375"/>
      <c r="IQ9" s="375"/>
      <c r="IR9" s="375"/>
      <c r="IS9" s="375"/>
      <c r="IT9" s="375"/>
      <c r="IU9" s="375"/>
      <c r="IV9" s="375"/>
    </row>
    <row r="10" spans="1:256" ht="30" customHeight="1">
      <c r="A10" s="370">
        <v>4</v>
      </c>
      <c r="B10" s="376">
        <v>700</v>
      </c>
      <c r="C10" s="376">
        <v>70004</v>
      </c>
      <c r="D10" s="377" t="s">
        <v>356</v>
      </c>
      <c r="E10" s="581"/>
      <c r="F10" s="378" t="s">
        <v>357</v>
      </c>
      <c r="G10" s="374">
        <f>70000-10000+9000+2000+4000</f>
        <v>75000</v>
      </c>
      <c r="H10" s="375"/>
      <c r="I10" s="375"/>
      <c r="J10" s="375"/>
      <c r="K10" s="375"/>
      <c r="L10" s="375"/>
      <c r="M10" s="375"/>
      <c r="N10" s="375"/>
      <c r="O10" s="375"/>
      <c r="P10" s="375"/>
      <c r="Q10" s="375"/>
      <c r="R10" s="375"/>
      <c r="S10" s="375"/>
      <c r="T10" s="375"/>
      <c r="U10" s="375"/>
      <c r="V10" s="375"/>
      <c r="W10" s="375"/>
      <c r="X10" s="375"/>
      <c r="Y10" s="375"/>
      <c r="Z10" s="375"/>
      <c r="AA10" s="375"/>
      <c r="AB10" s="375"/>
      <c r="AC10" s="375"/>
      <c r="AD10" s="375"/>
      <c r="AE10" s="375"/>
      <c r="AF10" s="375"/>
      <c r="AG10" s="375"/>
      <c r="AH10" s="375"/>
      <c r="AI10" s="375"/>
      <c r="AJ10" s="375"/>
      <c r="AK10" s="375"/>
      <c r="AL10" s="375"/>
      <c r="AM10" s="375"/>
      <c r="AN10" s="375"/>
      <c r="AO10" s="375"/>
      <c r="AP10" s="375"/>
      <c r="AQ10" s="375"/>
      <c r="AR10" s="375"/>
      <c r="AS10" s="375"/>
      <c r="AT10" s="375"/>
      <c r="AU10" s="375"/>
      <c r="AV10" s="375"/>
      <c r="AW10" s="375"/>
      <c r="AX10" s="375"/>
      <c r="AY10" s="375"/>
      <c r="AZ10" s="375"/>
      <c r="BA10" s="375"/>
      <c r="BB10" s="375"/>
      <c r="BC10" s="375"/>
      <c r="BD10" s="375"/>
      <c r="BE10" s="375"/>
      <c r="BF10" s="375"/>
      <c r="BG10" s="375"/>
      <c r="BH10" s="375"/>
      <c r="BI10" s="375"/>
      <c r="BJ10" s="375"/>
      <c r="BK10" s="375"/>
      <c r="BL10" s="375"/>
      <c r="BM10" s="375"/>
      <c r="BN10" s="375"/>
      <c r="BO10" s="375"/>
      <c r="BP10" s="375"/>
      <c r="BQ10" s="375"/>
      <c r="BR10" s="375"/>
      <c r="BS10" s="375"/>
      <c r="BT10" s="375"/>
      <c r="BU10" s="375"/>
      <c r="BV10" s="375"/>
      <c r="BW10" s="375"/>
      <c r="BX10" s="375"/>
      <c r="BY10" s="375"/>
      <c r="BZ10" s="375"/>
      <c r="CA10" s="375"/>
      <c r="CB10" s="375"/>
      <c r="CC10" s="375"/>
      <c r="CD10" s="375"/>
      <c r="CE10" s="375"/>
      <c r="CF10" s="375"/>
      <c r="CG10" s="375"/>
      <c r="CH10" s="375"/>
      <c r="CI10" s="375"/>
      <c r="CJ10" s="375"/>
      <c r="CK10" s="375"/>
      <c r="CL10" s="375"/>
      <c r="CM10" s="375"/>
      <c r="CN10" s="375"/>
      <c r="CO10" s="375"/>
      <c r="CP10" s="375"/>
      <c r="CQ10" s="375"/>
      <c r="CR10" s="375"/>
      <c r="CS10" s="375"/>
      <c r="CT10" s="375"/>
      <c r="CU10" s="375"/>
      <c r="CV10" s="375"/>
      <c r="CW10" s="375"/>
      <c r="CX10" s="375"/>
      <c r="CY10" s="375"/>
      <c r="CZ10" s="375"/>
      <c r="DA10" s="375"/>
      <c r="DB10" s="375"/>
      <c r="DC10" s="375"/>
      <c r="DD10" s="375"/>
      <c r="DE10" s="375"/>
      <c r="DF10" s="375"/>
      <c r="DG10" s="375"/>
      <c r="DH10" s="375"/>
      <c r="DI10" s="375"/>
      <c r="DJ10" s="375"/>
      <c r="DK10" s="375"/>
      <c r="DL10" s="375"/>
      <c r="DM10" s="375"/>
      <c r="DN10" s="375"/>
      <c r="DO10" s="375"/>
      <c r="DP10" s="375"/>
      <c r="DQ10" s="375"/>
      <c r="DR10" s="375"/>
      <c r="DS10" s="375"/>
      <c r="DT10" s="375"/>
      <c r="DU10" s="375"/>
      <c r="DV10" s="375"/>
      <c r="DW10" s="375"/>
      <c r="DX10" s="375"/>
      <c r="DY10" s="375"/>
      <c r="DZ10" s="375"/>
      <c r="EA10" s="375"/>
      <c r="EB10" s="375"/>
      <c r="EC10" s="375"/>
      <c r="ED10" s="375"/>
      <c r="EE10" s="375"/>
      <c r="EF10" s="375"/>
      <c r="EG10" s="375"/>
      <c r="EH10" s="375"/>
      <c r="EI10" s="375"/>
      <c r="EJ10" s="375"/>
      <c r="EK10" s="375"/>
      <c r="EL10" s="375"/>
      <c r="EM10" s="375"/>
      <c r="EN10" s="375"/>
      <c r="EO10" s="375"/>
      <c r="EP10" s="375"/>
      <c r="EQ10" s="375"/>
      <c r="ER10" s="375"/>
      <c r="ES10" s="375"/>
      <c r="ET10" s="375"/>
      <c r="EU10" s="375"/>
      <c r="EV10" s="375"/>
      <c r="EW10" s="375"/>
      <c r="EX10" s="375"/>
      <c r="EY10" s="375"/>
      <c r="EZ10" s="375"/>
      <c r="FA10" s="375"/>
      <c r="FB10" s="375"/>
      <c r="FC10" s="375"/>
      <c r="FD10" s="375"/>
      <c r="FE10" s="375"/>
      <c r="FF10" s="375"/>
      <c r="FG10" s="375"/>
      <c r="FH10" s="375"/>
      <c r="FI10" s="375"/>
      <c r="FJ10" s="375"/>
      <c r="FK10" s="375"/>
      <c r="FL10" s="375"/>
      <c r="FM10" s="375"/>
      <c r="FN10" s="375"/>
      <c r="FO10" s="375"/>
      <c r="FP10" s="375"/>
      <c r="FQ10" s="375"/>
      <c r="FR10" s="375"/>
      <c r="FS10" s="375"/>
      <c r="FT10" s="375"/>
      <c r="FU10" s="375"/>
      <c r="FV10" s="375"/>
      <c r="FW10" s="375"/>
      <c r="FX10" s="375"/>
      <c r="FY10" s="375"/>
      <c r="FZ10" s="375"/>
      <c r="GA10" s="375"/>
      <c r="GB10" s="375"/>
      <c r="GC10" s="375"/>
      <c r="GD10" s="375"/>
      <c r="GE10" s="375"/>
      <c r="GF10" s="375"/>
      <c r="GG10" s="375"/>
      <c r="GH10" s="375"/>
      <c r="GI10" s="375"/>
      <c r="GJ10" s="375"/>
      <c r="GK10" s="375"/>
      <c r="GL10" s="375"/>
      <c r="GM10" s="375"/>
      <c r="GN10" s="375"/>
      <c r="GO10" s="375"/>
      <c r="GP10" s="375"/>
      <c r="GQ10" s="375"/>
      <c r="GR10" s="375"/>
      <c r="GS10" s="375"/>
      <c r="GT10" s="375"/>
      <c r="GU10" s="375"/>
      <c r="GV10" s="375"/>
      <c r="GW10" s="375"/>
      <c r="GX10" s="375"/>
      <c r="GY10" s="375"/>
      <c r="GZ10" s="375"/>
      <c r="HA10" s="375"/>
      <c r="HB10" s="375"/>
      <c r="HC10" s="375"/>
      <c r="HD10" s="375"/>
      <c r="HE10" s="375"/>
      <c r="HF10" s="375"/>
      <c r="HG10" s="375"/>
      <c r="HH10" s="375"/>
      <c r="HI10" s="375"/>
      <c r="HJ10" s="375"/>
      <c r="HK10" s="375"/>
      <c r="HL10" s="375"/>
      <c r="HM10" s="375"/>
      <c r="HN10" s="375"/>
      <c r="HO10" s="375"/>
      <c r="HP10" s="375"/>
      <c r="HQ10" s="375"/>
      <c r="HR10" s="375"/>
      <c r="HS10" s="375"/>
      <c r="HT10" s="375"/>
      <c r="HU10" s="375"/>
      <c r="HV10" s="375"/>
      <c r="HW10" s="375"/>
      <c r="HX10" s="375"/>
      <c r="HY10" s="375"/>
      <c r="HZ10" s="375"/>
      <c r="IA10" s="375"/>
      <c r="IB10" s="375"/>
      <c r="IC10" s="375"/>
      <c r="ID10" s="375"/>
      <c r="IE10" s="375"/>
      <c r="IF10" s="375"/>
      <c r="IG10" s="375"/>
      <c r="IH10" s="375"/>
      <c r="II10" s="375"/>
      <c r="IJ10" s="375"/>
      <c r="IK10" s="375"/>
      <c r="IL10" s="375"/>
      <c r="IM10" s="375"/>
      <c r="IN10" s="375"/>
      <c r="IO10" s="375"/>
      <c r="IP10" s="375"/>
      <c r="IQ10" s="375"/>
      <c r="IR10" s="375"/>
      <c r="IS10" s="375"/>
      <c r="IT10" s="375"/>
      <c r="IU10" s="375"/>
      <c r="IV10" s="375"/>
    </row>
    <row r="11" spans="1:256" ht="25.5">
      <c r="A11" s="379">
        <v>6</v>
      </c>
      <c r="B11" s="380">
        <v>801</v>
      </c>
      <c r="C11" s="380">
        <v>80113</v>
      </c>
      <c r="D11" s="372" t="s">
        <v>308</v>
      </c>
      <c r="E11" s="581"/>
      <c r="F11" s="381" t="s">
        <v>309</v>
      </c>
      <c r="G11" s="382">
        <f>189474.66+525.34</f>
        <v>190000</v>
      </c>
      <c r="H11" s="375"/>
      <c r="I11" s="375"/>
      <c r="J11" s="375"/>
      <c r="K11" s="375"/>
      <c r="L11" s="375"/>
      <c r="M11" s="375"/>
      <c r="N11" s="375"/>
      <c r="O11" s="375"/>
      <c r="P11" s="375"/>
      <c r="Q11" s="375"/>
      <c r="R11" s="375"/>
      <c r="S11" s="375"/>
      <c r="T11" s="375"/>
      <c r="U11" s="375"/>
      <c r="V11" s="375"/>
      <c r="W11" s="375"/>
      <c r="X11" s="375"/>
      <c r="Y11" s="375"/>
      <c r="Z11" s="375"/>
      <c r="AA11" s="375"/>
      <c r="AB11" s="375"/>
      <c r="AC11" s="375"/>
      <c r="AD11" s="375"/>
      <c r="AE11" s="375"/>
      <c r="AF11" s="375"/>
      <c r="AG11" s="375"/>
      <c r="AH11" s="375"/>
      <c r="AI11" s="375"/>
      <c r="AJ11" s="375"/>
      <c r="AK11" s="375"/>
      <c r="AL11" s="375"/>
      <c r="AM11" s="375"/>
      <c r="AN11" s="375"/>
      <c r="AO11" s="375"/>
      <c r="AP11" s="375"/>
      <c r="AQ11" s="375"/>
      <c r="AR11" s="375"/>
      <c r="AS11" s="375"/>
      <c r="AT11" s="375"/>
      <c r="AU11" s="375"/>
      <c r="AV11" s="375"/>
      <c r="AW11" s="375"/>
      <c r="AX11" s="375"/>
      <c r="AY11" s="375"/>
      <c r="AZ11" s="375"/>
      <c r="BA11" s="375"/>
      <c r="BB11" s="375"/>
      <c r="BC11" s="375"/>
      <c r="BD11" s="375"/>
      <c r="BE11" s="375"/>
      <c r="BF11" s="375"/>
      <c r="BG11" s="375"/>
      <c r="BH11" s="375"/>
      <c r="BI11" s="375"/>
      <c r="BJ11" s="375"/>
      <c r="BK11" s="375"/>
      <c r="BL11" s="375"/>
      <c r="BM11" s="375"/>
      <c r="BN11" s="375"/>
      <c r="BO11" s="375"/>
      <c r="BP11" s="375"/>
      <c r="BQ11" s="375"/>
      <c r="BR11" s="375"/>
      <c r="BS11" s="375"/>
      <c r="BT11" s="375"/>
      <c r="BU11" s="375"/>
      <c r="BV11" s="375"/>
      <c r="BW11" s="375"/>
      <c r="BX11" s="375"/>
      <c r="BY11" s="375"/>
      <c r="BZ11" s="375"/>
      <c r="CA11" s="375"/>
      <c r="CB11" s="375"/>
      <c r="CC11" s="375"/>
      <c r="CD11" s="375"/>
      <c r="CE11" s="375"/>
      <c r="CF11" s="375"/>
      <c r="CG11" s="375"/>
      <c r="CH11" s="375"/>
      <c r="CI11" s="375"/>
      <c r="CJ11" s="375"/>
      <c r="CK11" s="375"/>
      <c r="CL11" s="375"/>
      <c r="CM11" s="375"/>
      <c r="CN11" s="375"/>
      <c r="CO11" s="375"/>
      <c r="CP11" s="375"/>
      <c r="CQ11" s="375"/>
      <c r="CR11" s="375"/>
      <c r="CS11" s="375"/>
      <c r="CT11" s="375"/>
      <c r="CU11" s="375"/>
      <c r="CV11" s="375"/>
      <c r="CW11" s="375"/>
      <c r="CX11" s="375"/>
      <c r="CY11" s="375"/>
      <c r="CZ11" s="375"/>
      <c r="DA11" s="375"/>
      <c r="DB11" s="375"/>
      <c r="DC11" s="375"/>
      <c r="DD11" s="375"/>
      <c r="DE11" s="375"/>
      <c r="DF11" s="375"/>
      <c r="DG11" s="375"/>
      <c r="DH11" s="375"/>
      <c r="DI11" s="375"/>
      <c r="DJ11" s="375"/>
      <c r="DK11" s="375"/>
      <c r="DL11" s="375"/>
      <c r="DM11" s="375"/>
      <c r="DN11" s="375"/>
      <c r="DO11" s="375"/>
      <c r="DP11" s="375"/>
      <c r="DQ11" s="375"/>
      <c r="DR11" s="375"/>
      <c r="DS11" s="375"/>
      <c r="DT11" s="375"/>
      <c r="DU11" s="375"/>
      <c r="DV11" s="375"/>
      <c r="DW11" s="375"/>
      <c r="DX11" s="375"/>
      <c r="DY11" s="375"/>
      <c r="DZ11" s="375"/>
      <c r="EA11" s="375"/>
      <c r="EB11" s="375"/>
      <c r="EC11" s="375"/>
      <c r="ED11" s="375"/>
      <c r="EE11" s="375"/>
      <c r="EF11" s="375"/>
      <c r="EG11" s="375"/>
      <c r="EH11" s="375"/>
      <c r="EI11" s="375"/>
      <c r="EJ11" s="375"/>
      <c r="EK11" s="375"/>
      <c r="EL11" s="375"/>
      <c r="EM11" s="375"/>
      <c r="EN11" s="375"/>
      <c r="EO11" s="375"/>
      <c r="EP11" s="375"/>
      <c r="EQ11" s="375"/>
      <c r="ER11" s="375"/>
      <c r="ES11" s="375"/>
      <c r="ET11" s="375"/>
      <c r="EU11" s="375"/>
      <c r="EV11" s="375"/>
      <c r="EW11" s="375"/>
      <c r="EX11" s="375"/>
      <c r="EY11" s="375"/>
      <c r="EZ11" s="375"/>
      <c r="FA11" s="375"/>
      <c r="FB11" s="375"/>
      <c r="FC11" s="375"/>
      <c r="FD11" s="375"/>
      <c r="FE11" s="375"/>
      <c r="FF11" s="375"/>
      <c r="FG11" s="375"/>
      <c r="FH11" s="375"/>
      <c r="FI11" s="375"/>
      <c r="FJ11" s="375"/>
      <c r="FK11" s="375"/>
      <c r="FL11" s="375"/>
      <c r="FM11" s="375"/>
      <c r="FN11" s="375"/>
      <c r="FO11" s="375"/>
      <c r="FP11" s="375"/>
      <c r="FQ11" s="375"/>
      <c r="FR11" s="375"/>
      <c r="FS11" s="375"/>
      <c r="FT11" s="375"/>
      <c r="FU11" s="375"/>
      <c r="FV11" s="375"/>
      <c r="FW11" s="375"/>
      <c r="FX11" s="375"/>
      <c r="FY11" s="375"/>
      <c r="FZ11" s="375"/>
      <c r="GA11" s="375"/>
      <c r="GB11" s="375"/>
      <c r="GC11" s="375"/>
      <c r="GD11" s="375"/>
      <c r="GE11" s="375"/>
      <c r="GF11" s="375"/>
      <c r="GG11" s="375"/>
      <c r="GH11" s="375"/>
      <c r="GI11" s="375"/>
      <c r="GJ11" s="375"/>
      <c r="GK11" s="375"/>
      <c r="GL11" s="375"/>
      <c r="GM11" s="375"/>
      <c r="GN11" s="375"/>
      <c r="GO11" s="375"/>
      <c r="GP11" s="375"/>
      <c r="GQ11" s="375"/>
      <c r="GR11" s="375"/>
      <c r="GS11" s="375"/>
      <c r="GT11" s="375"/>
      <c r="GU11" s="375"/>
      <c r="GV11" s="375"/>
      <c r="GW11" s="375"/>
      <c r="GX11" s="375"/>
      <c r="GY11" s="375"/>
      <c r="GZ11" s="375"/>
      <c r="HA11" s="375"/>
      <c r="HB11" s="375"/>
      <c r="HC11" s="375"/>
      <c r="HD11" s="375"/>
      <c r="HE11" s="375"/>
      <c r="HF11" s="375"/>
      <c r="HG11" s="375"/>
      <c r="HH11" s="375"/>
      <c r="HI11" s="375"/>
      <c r="HJ11" s="375"/>
      <c r="HK11" s="375"/>
      <c r="HL11" s="375"/>
      <c r="HM11" s="375"/>
      <c r="HN11" s="375"/>
      <c r="HO11" s="375"/>
      <c r="HP11" s="375"/>
      <c r="HQ11" s="375"/>
      <c r="HR11" s="375"/>
      <c r="HS11" s="375"/>
      <c r="HT11" s="375"/>
      <c r="HU11" s="375"/>
      <c r="HV11" s="375"/>
      <c r="HW11" s="375"/>
      <c r="HX11" s="375"/>
      <c r="HY11" s="375"/>
      <c r="HZ11" s="375"/>
      <c r="IA11" s="375"/>
      <c r="IB11" s="375"/>
      <c r="IC11" s="375"/>
      <c r="ID11" s="375"/>
      <c r="IE11" s="375"/>
      <c r="IF11" s="375"/>
      <c r="IG11" s="375"/>
      <c r="IH11" s="375"/>
      <c r="II11" s="375"/>
      <c r="IJ11" s="375"/>
      <c r="IK11" s="375"/>
      <c r="IL11" s="375"/>
      <c r="IM11" s="375"/>
      <c r="IN11" s="375"/>
      <c r="IO11" s="375"/>
      <c r="IP11" s="375"/>
      <c r="IQ11" s="375"/>
      <c r="IR11" s="375"/>
      <c r="IS11" s="375"/>
      <c r="IT11" s="375"/>
      <c r="IU11" s="375"/>
      <c r="IV11" s="375"/>
    </row>
    <row r="12" spans="1:256" ht="38.25">
      <c r="A12" s="379">
        <v>7</v>
      </c>
      <c r="B12" s="380">
        <v>900</v>
      </c>
      <c r="C12" s="380">
        <v>90002</v>
      </c>
      <c r="D12" s="372" t="s">
        <v>310</v>
      </c>
      <c r="E12" s="581"/>
      <c r="F12" s="381" t="s">
        <v>311</v>
      </c>
      <c r="G12" s="382">
        <f>26070-70</f>
        <v>26000</v>
      </c>
      <c r="H12" s="375"/>
      <c r="I12" s="375"/>
      <c r="J12" s="375"/>
      <c r="K12" s="375"/>
      <c r="L12" s="375"/>
      <c r="M12" s="375"/>
      <c r="N12" s="375"/>
      <c r="O12" s="375"/>
      <c r="P12" s="375"/>
      <c r="Q12" s="375"/>
      <c r="R12" s="375"/>
      <c r="S12" s="375"/>
      <c r="T12" s="375"/>
      <c r="U12" s="375"/>
      <c r="V12" s="375"/>
      <c r="W12" s="375"/>
      <c r="X12" s="375"/>
      <c r="Y12" s="375"/>
      <c r="Z12" s="375"/>
      <c r="AA12" s="375"/>
      <c r="AB12" s="375"/>
      <c r="AC12" s="375"/>
      <c r="AD12" s="375"/>
      <c r="AE12" s="375"/>
      <c r="AF12" s="375"/>
      <c r="AG12" s="375"/>
      <c r="AH12" s="375"/>
      <c r="AI12" s="375"/>
      <c r="AJ12" s="375"/>
      <c r="AK12" s="375"/>
      <c r="AL12" s="375"/>
      <c r="AM12" s="375"/>
      <c r="AN12" s="375"/>
      <c r="AO12" s="375"/>
      <c r="AP12" s="375"/>
      <c r="AQ12" s="375"/>
      <c r="AR12" s="375"/>
      <c r="AS12" s="375"/>
      <c r="AT12" s="375"/>
      <c r="AU12" s="375"/>
      <c r="AV12" s="375"/>
      <c r="AW12" s="375"/>
      <c r="AX12" s="375"/>
      <c r="AY12" s="375"/>
      <c r="AZ12" s="375"/>
      <c r="BA12" s="375"/>
      <c r="BB12" s="375"/>
      <c r="BC12" s="375"/>
      <c r="BD12" s="375"/>
      <c r="BE12" s="375"/>
      <c r="BF12" s="375"/>
      <c r="BG12" s="375"/>
      <c r="BH12" s="375"/>
      <c r="BI12" s="375"/>
      <c r="BJ12" s="375"/>
      <c r="BK12" s="375"/>
      <c r="BL12" s="375"/>
      <c r="BM12" s="375"/>
      <c r="BN12" s="375"/>
      <c r="BO12" s="375"/>
      <c r="BP12" s="375"/>
      <c r="BQ12" s="375"/>
      <c r="BR12" s="375"/>
      <c r="BS12" s="375"/>
      <c r="BT12" s="375"/>
      <c r="BU12" s="375"/>
      <c r="BV12" s="375"/>
      <c r="BW12" s="375"/>
      <c r="BX12" s="375"/>
      <c r="BY12" s="375"/>
      <c r="BZ12" s="375"/>
      <c r="CA12" s="375"/>
      <c r="CB12" s="375"/>
      <c r="CC12" s="375"/>
      <c r="CD12" s="375"/>
      <c r="CE12" s="375"/>
      <c r="CF12" s="375"/>
      <c r="CG12" s="375"/>
      <c r="CH12" s="375"/>
      <c r="CI12" s="375"/>
      <c r="CJ12" s="375"/>
      <c r="CK12" s="375"/>
      <c r="CL12" s="375"/>
      <c r="CM12" s="375"/>
      <c r="CN12" s="375"/>
      <c r="CO12" s="375"/>
      <c r="CP12" s="375"/>
      <c r="CQ12" s="375"/>
      <c r="CR12" s="375"/>
      <c r="CS12" s="375"/>
      <c r="CT12" s="375"/>
      <c r="CU12" s="375"/>
      <c r="CV12" s="375"/>
      <c r="CW12" s="375"/>
      <c r="CX12" s="375"/>
      <c r="CY12" s="375"/>
      <c r="CZ12" s="375"/>
      <c r="DA12" s="375"/>
      <c r="DB12" s="375"/>
      <c r="DC12" s="375"/>
      <c r="DD12" s="375"/>
      <c r="DE12" s="375"/>
      <c r="DF12" s="375"/>
      <c r="DG12" s="375"/>
      <c r="DH12" s="375"/>
      <c r="DI12" s="375"/>
      <c r="DJ12" s="375"/>
      <c r="DK12" s="375"/>
      <c r="DL12" s="375"/>
      <c r="DM12" s="375"/>
      <c r="DN12" s="375"/>
      <c r="DO12" s="375"/>
      <c r="DP12" s="375"/>
      <c r="DQ12" s="375"/>
      <c r="DR12" s="375"/>
      <c r="DS12" s="375"/>
      <c r="DT12" s="375"/>
      <c r="DU12" s="375"/>
      <c r="DV12" s="375"/>
      <c r="DW12" s="375"/>
      <c r="DX12" s="375"/>
      <c r="DY12" s="375"/>
      <c r="DZ12" s="375"/>
      <c r="EA12" s="375"/>
      <c r="EB12" s="375"/>
      <c r="EC12" s="375"/>
      <c r="ED12" s="375"/>
      <c r="EE12" s="375"/>
      <c r="EF12" s="375"/>
      <c r="EG12" s="375"/>
      <c r="EH12" s="375"/>
      <c r="EI12" s="375"/>
      <c r="EJ12" s="375"/>
      <c r="EK12" s="375"/>
      <c r="EL12" s="375"/>
      <c r="EM12" s="375"/>
      <c r="EN12" s="375"/>
      <c r="EO12" s="375"/>
      <c r="EP12" s="375"/>
      <c r="EQ12" s="375"/>
      <c r="ER12" s="375"/>
      <c r="ES12" s="375"/>
      <c r="ET12" s="375"/>
      <c r="EU12" s="375"/>
      <c r="EV12" s="375"/>
      <c r="EW12" s="375"/>
      <c r="EX12" s="375"/>
      <c r="EY12" s="375"/>
      <c r="EZ12" s="375"/>
      <c r="FA12" s="375"/>
      <c r="FB12" s="375"/>
      <c r="FC12" s="375"/>
      <c r="FD12" s="375"/>
      <c r="FE12" s="375"/>
      <c r="FF12" s="375"/>
      <c r="FG12" s="375"/>
      <c r="FH12" s="375"/>
      <c r="FI12" s="375"/>
      <c r="FJ12" s="375"/>
      <c r="FK12" s="375"/>
      <c r="FL12" s="375"/>
      <c r="FM12" s="375"/>
      <c r="FN12" s="375"/>
      <c r="FO12" s="375"/>
      <c r="FP12" s="375"/>
      <c r="FQ12" s="375"/>
      <c r="FR12" s="375"/>
      <c r="FS12" s="375"/>
      <c r="FT12" s="375"/>
      <c r="FU12" s="375"/>
      <c r="FV12" s="375"/>
      <c r="FW12" s="375"/>
      <c r="FX12" s="375"/>
      <c r="FY12" s="375"/>
      <c r="FZ12" s="375"/>
      <c r="GA12" s="375"/>
      <c r="GB12" s="375"/>
      <c r="GC12" s="375"/>
      <c r="GD12" s="375"/>
      <c r="GE12" s="375"/>
      <c r="GF12" s="375"/>
      <c r="GG12" s="375"/>
      <c r="GH12" s="375"/>
      <c r="GI12" s="375"/>
      <c r="GJ12" s="375"/>
      <c r="GK12" s="375"/>
      <c r="GL12" s="375"/>
      <c r="GM12" s="375"/>
      <c r="GN12" s="375"/>
      <c r="GO12" s="375"/>
      <c r="GP12" s="375"/>
      <c r="GQ12" s="375"/>
      <c r="GR12" s="375"/>
      <c r="GS12" s="375"/>
      <c r="GT12" s="375"/>
      <c r="GU12" s="375"/>
      <c r="GV12" s="375"/>
      <c r="GW12" s="375"/>
      <c r="GX12" s="375"/>
      <c r="GY12" s="375"/>
      <c r="GZ12" s="375"/>
      <c r="HA12" s="375"/>
      <c r="HB12" s="375"/>
      <c r="HC12" s="375"/>
      <c r="HD12" s="375"/>
      <c r="HE12" s="375"/>
      <c r="HF12" s="375"/>
      <c r="HG12" s="375"/>
      <c r="HH12" s="375"/>
      <c r="HI12" s="375"/>
      <c r="HJ12" s="375"/>
      <c r="HK12" s="375"/>
      <c r="HL12" s="375"/>
      <c r="HM12" s="375"/>
      <c r="HN12" s="375"/>
      <c r="HO12" s="375"/>
      <c r="HP12" s="375"/>
      <c r="HQ12" s="375"/>
      <c r="HR12" s="375"/>
      <c r="HS12" s="375"/>
      <c r="HT12" s="375"/>
      <c r="HU12" s="375"/>
      <c r="HV12" s="375"/>
      <c r="HW12" s="375"/>
      <c r="HX12" s="375"/>
      <c r="HY12" s="375"/>
      <c r="HZ12" s="375"/>
      <c r="IA12" s="375"/>
      <c r="IB12" s="375"/>
      <c r="IC12" s="375"/>
      <c r="ID12" s="375"/>
      <c r="IE12" s="375"/>
      <c r="IF12" s="375"/>
      <c r="IG12" s="375"/>
      <c r="IH12" s="375"/>
      <c r="II12" s="375"/>
      <c r="IJ12" s="375"/>
      <c r="IK12" s="375"/>
      <c r="IL12" s="375"/>
      <c r="IM12" s="375"/>
      <c r="IN12" s="375"/>
      <c r="IO12" s="375"/>
      <c r="IP12" s="375"/>
      <c r="IQ12" s="375"/>
      <c r="IR12" s="375"/>
      <c r="IS12" s="375"/>
      <c r="IT12" s="375"/>
      <c r="IU12" s="375"/>
      <c r="IV12" s="375"/>
    </row>
    <row r="13" spans="1:256" ht="26.25" thickBot="1">
      <c r="A13" s="379">
        <v>8</v>
      </c>
      <c r="B13" s="380">
        <v>900</v>
      </c>
      <c r="C13" s="380">
        <v>90004</v>
      </c>
      <c r="D13" s="376" t="s">
        <v>312</v>
      </c>
      <c r="E13" s="582"/>
      <c r="F13" s="381" t="s">
        <v>313</v>
      </c>
      <c r="G13" s="382">
        <f>8000+8000+5000</f>
        <v>21000</v>
      </c>
      <c r="H13" s="375"/>
      <c r="I13" s="375"/>
      <c r="J13" s="375"/>
      <c r="K13" s="375"/>
      <c r="L13" s="375"/>
      <c r="M13" s="375"/>
      <c r="N13" s="375"/>
      <c r="O13" s="375"/>
      <c r="P13" s="375"/>
      <c r="Q13" s="375"/>
      <c r="R13" s="375"/>
      <c r="S13" s="375"/>
      <c r="T13" s="375"/>
      <c r="U13" s="375"/>
      <c r="V13" s="375"/>
      <c r="W13" s="375"/>
      <c r="X13" s="375"/>
      <c r="Y13" s="375"/>
      <c r="Z13" s="375"/>
      <c r="AA13" s="375"/>
      <c r="AB13" s="375"/>
      <c r="AC13" s="375"/>
      <c r="AD13" s="375"/>
      <c r="AE13" s="375"/>
      <c r="AF13" s="375"/>
      <c r="AG13" s="375"/>
      <c r="AH13" s="375"/>
      <c r="AI13" s="375"/>
      <c r="AJ13" s="375"/>
      <c r="AK13" s="375"/>
      <c r="AL13" s="375"/>
      <c r="AM13" s="375"/>
      <c r="AN13" s="375"/>
      <c r="AO13" s="375"/>
      <c r="AP13" s="375"/>
      <c r="AQ13" s="375"/>
      <c r="AR13" s="375"/>
      <c r="AS13" s="375"/>
      <c r="AT13" s="375"/>
      <c r="AU13" s="375"/>
      <c r="AV13" s="375"/>
      <c r="AW13" s="375"/>
      <c r="AX13" s="375"/>
      <c r="AY13" s="375"/>
      <c r="AZ13" s="375"/>
      <c r="BA13" s="375"/>
      <c r="BB13" s="375"/>
      <c r="BC13" s="375"/>
      <c r="BD13" s="375"/>
      <c r="BE13" s="375"/>
      <c r="BF13" s="375"/>
      <c r="BG13" s="375"/>
      <c r="BH13" s="375"/>
      <c r="BI13" s="375"/>
      <c r="BJ13" s="375"/>
      <c r="BK13" s="375"/>
      <c r="BL13" s="375"/>
      <c r="BM13" s="375"/>
      <c r="BN13" s="375"/>
      <c r="BO13" s="375"/>
      <c r="BP13" s="375"/>
      <c r="BQ13" s="375"/>
      <c r="BR13" s="375"/>
      <c r="BS13" s="375"/>
      <c r="BT13" s="375"/>
      <c r="BU13" s="375"/>
      <c r="BV13" s="375"/>
      <c r="BW13" s="375"/>
      <c r="BX13" s="375"/>
      <c r="BY13" s="375"/>
      <c r="BZ13" s="375"/>
      <c r="CA13" s="375"/>
      <c r="CB13" s="375"/>
      <c r="CC13" s="375"/>
      <c r="CD13" s="375"/>
      <c r="CE13" s="375"/>
      <c r="CF13" s="375"/>
      <c r="CG13" s="375"/>
      <c r="CH13" s="375"/>
      <c r="CI13" s="375"/>
      <c r="CJ13" s="375"/>
      <c r="CK13" s="375"/>
      <c r="CL13" s="375"/>
      <c r="CM13" s="375"/>
      <c r="CN13" s="375"/>
      <c r="CO13" s="375"/>
      <c r="CP13" s="375"/>
      <c r="CQ13" s="375"/>
      <c r="CR13" s="375"/>
      <c r="CS13" s="375"/>
      <c r="CT13" s="375"/>
      <c r="CU13" s="375"/>
      <c r="CV13" s="375"/>
      <c r="CW13" s="375"/>
      <c r="CX13" s="375"/>
      <c r="CY13" s="375"/>
      <c r="CZ13" s="375"/>
      <c r="DA13" s="375"/>
      <c r="DB13" s="375"/>
      <c r="DC13" s="375"/>
      <c r="DD13" s="375"/>
      <c r="DE13" s="375"/>
      <c r="DF13" s="375"/>
      <c r="DG13" s="375"/>
      <c r="DH13" s="375"/>
      <c r="DI13" s="375"/>
      <c r="DJ13" s="375"/>
      <c r="DK13" s="375"/>
      <c r="DL13" s="375"/>
      <c r="DM13" s="375"/>
      <c r="DN13" s="375"/>
      <c r="DO13" s="375"/>
      <c r="DP13" s="375"/>
      <c r="DQ13" s="375"/>
      <c r="DR13" s="375"/>
      <c r="DS13" s="375"/>
      <c r="DT13" s="375"/>
      <c r="DU13" s="375"/>
      <c r="DV13" s="375"/>
      <c r="DW13" s="375"/>
      <c r="DX13" s="375"/>
      <c r="DY13" s="375"/>
      <c r="DZ13" s="375"/>
      <c r="EA13" s="375"/>
      <c r="EB13" s="375"/>
      <c r="EC13" s="375"/>
      <c r="ED13" s="375"/>
      <c r="EE13" s="375"/>
      <c r="EF13" s="375"/>
      <c r="EG13" s="375"/>
      <c r="EH13" s="375"/>
      <c r="EI13" s="375"/>
      <c r="EJ13" s="375"/>
      <c r="EK13" s="375"/>
      <c r="EL13" s="375"/>
      <c r="EM13" s="375"/>
      <c r="EN13" s="375"/>
      <c r="EO13" s="375"/>
      <c r="EP13" s="375"/>
      <c r="EQ13" s="375"/>
      <c r="ER13" s="375"/>
      <c r="ES13" s="375"/>
      <c r="ET13" s="375"/>
      <c r="EU13" s="375"/>
      <c r="EV13" s="375"/>
      <c r="EW13" s="375"/>
      <c r="EX13" s="375"/>
      <c r="EY13" s="375"/>
      <c r="EZ13" s="375"/>
      <c r="FA13" s="375"/>
      <c r="FB13" s="375"/>
      <c r="FC13" s="375"/>
      <c r="FD13" s="375"/>
      <c r="FE13" s="375"/>
      <c r="FF13" s="375"/>
      <c r="FG13" s="375"/>
      <c r="FH13" s="375"/>
      <c r="FI13" s="375"/>
      <c r="FJ13" s="375"/>
      <c r="FK13" s="375"/>
      <c r="FL13" s="375"/>
      <c r="FM13" s="375"/>
      <c r="FN13" s="375"/>
      <c r="FO13" s="375"/>
      <c r="FP13" s="375"/>
      <c r="FQ13" s="375"/>
      <c r="FR13" s="375"/>
      <c r="FS13" s="375"/>
      <c r="FT13" s="375"/>
      <c r="FU13" s="375"/>
      <c r="FV13" s="375"/>
      <c r="FW13" s="375"/>
      <c r="FX13" s="375"/>
      <c r="FY13" s="375"/>
      <c r="FZ13" s="375"/>
      <c r="GA13" s="375"/>
      <c r="GB13" s="375"/>
      <c r="GC13" s="375"/>
      <c r="GD13" s="375"/>
      <c r="GE13" s="375"/>
      <c r="GF13" s="375"/>
      <c r="GG13" s="375"/>
      <c r="GH13" s="375"/>
      <c r="GI13" s="375"/>
      <c r="GJ13" s="375"/>
      <c r="GK13" s="375"/>
      <c r="GL13" s="375"/>
      <c r="GM13" s="375"/>
      <c r="GN13" s="375"/>
      <c r="GO13" s="375"/>
      <c r="GP13" s="375"/>
      <c r="GQ13" s="375"/>
      <c r="GR13" s="375"/>
      <c r="GS13" s="375"/>
      <c r="GT13" s="375"/>
      <c r="GU13" s="375"/>
      <c r="GV13" s="375"/>
      <c r="GW13" s="375"/>
      <c r="GX13" s="375"/>
      <c r="GY13" s="375"/>
      <c r="GZ13" s="375"/>
      <c r="HA13" s="375"/>
      <c r="HB13" s="375"/>
      <c r="HC13" s="375"/>
      <c r="HD13" s="375"/>
      <c r="HE13" s="375"/>
      <c r="HF13" s="375"/>
      <c r="HG13" s="375"/>
      <c r="HH13" s="375"/>
      <c r="HI13" s="375"/>
      <c r="HJ13" s="375"/>
      <c r="HK13" s="375"/>
      <c r="HL13" s="375"/>
      <c r="HM13" s="375"/>
      <c r="HN13" s="375"/>
      <c r="HO13" s="375"/>
      <c r="HP13" s="375"/>
      <c r="HQ13" s="375"/>
      <c r="HR13" s="375"/>
      <c r="HS13" s="375"/>
      <c r="HT13" s="375"/>
      <c r="HU13" s="375"/>
      <c r="HV13" s="375"/>
      <c r="HW13" s="375"/>
      <c r="HX13" s="375"/>
      <c r="HY13" s="375"/>
      <c r="HZ13" s="375"/>
      <c r="IA13" s="375"/>
      <c r="IB13" s="375"/>
      <c r="IC13" s="375"/>
      <c r="ID13" s="375"/>
      <c r="IE13" s="375"/>
      <c r="IF13" s="375"/>
      <c r="IG13" s="375"/>
      <c r="IH13" s="375"/>
      <c r="II13" s="375"/>
      <c r="IJ13" s="375"/>
      <c r="IK13" s="375"/>
      <c r="IL13" s="375"/>
      <c r="IM13" s="375"/>
      <c r="IN13" s="375"/>
      <c r="IO13" s="375"/>
      <c r="IP13" s="375"/>
      <c r="IQ13" s="375"/>
      <c r="IR13" s="375"/>
      <c r="IS13" s="375"/>
      <c r="IT13" s="375"/>
      <c r="IU13" s="375"/>
      <c r="IV13" s="375"/>
    </row>
    <row r="14" spans="1:7" ht="15.75" customHeight="1" thickBot="1">
      <c r="A14" s="383" t="s">
        <v>314</v>
      </c>
      <c r="B14" s="384"/>
      <c r="C14" s="384"/>
      <c r="D14" s="384"/>
      <c r="E14" s="384"/>
      <c r="F14" s="384"/>
      <c r="G14" s="385">
        <f>G15+G20</f>
        <v>786176.4</v>
      </c>
    </row>
    <row r="15" spans="1:7" ht="15.75" customHeight="1">
      <c r="A15" s="367" t="s">
        <v>315</v>
      </c>
      <c r="B15" s="368"/>
      <c r="C15" s="368"/>
      <c r="D15" s="368"/>
      <c r="E15" s="368"/>
      <c r="F15" s="368"/>
      <c r="G15" s="369">
        <f>SUM(G16:G19)</f>
        <v>575000</v>
      </c>
    </row>
    <row r="16" spans="1:7" ht="36.75" customHeight="1">
      <c r="A16" s="379">
        <v>1</v>
      </c>
      <c r="B16" s="380">
        <v>921</v>
      </c>
      <c r="C16" s="380">
        <v>92109</v>
      </c>
      <c r="D16" s="386" t="s">
        <v>36</v>
      </c>
      <c r="E16" s="381" t="s">
        <v>316</v>
      </c>
      <c r="F16" s="381" t="s">
        <v>317</v>
      </c>
      <c r="G16" s="382">
        <f>208000+60000+20000+12000+10000</f>
        <v>310000</v>
      </c>
    </row>
    <row r="17" spans="1:7" ht="30" customHeight="1">
      <c r="A17" s="379">
        <v>2</v>
      </c>
      <c r="B17" s="380">
        <v>921</v>
      </c>
      <c r="C17" s="380">
        <v>92116</v>
      </c>
      <c r="D17" s="380" t="s">
        <v>318</v>
      </c>
      <c r="E17" s="381" t="s">
        <v>316</v>
      </c>
      <c r="F17" s="381" t="s">
        <v>319</v>
      </c>
      <c r="G17" s="382">
        <f>184000+17000</f>
        <v>201000</v>
      </c>
    </row>
    <row r="18" spans="1:7" ht="30" customHeight="1">
      <c r="A18" s="379">
        <v>3</v>
      </c>
      <c r="B18" s="380">
        <v>921</v>
      </c>
      <c r="C18" s="380">
        <v>92195</v>
      </c>
      <c r="D18" s="386" t="s">
        <v>37</v>
      </c>
      <c r="E18" s="381" t="s">
        <v>316</v>
      </c>
      <c r="F18" s="381" t="s">
        <v>320</v>
      </c>
      <c r="G18" s="382">
        <f>25000+31000</f>
        <v>56000</v>
      </c>
    </row>
    <row r="19" spans="1:8" ht="39" thickBot="1">
      <c r="A19" s="379">
        <v>4</v>
      </c>
      <c r="B19" s="380">
        <v>926</v>
      </c>
      <c r="C19" s="380">
        <v>92605</v>
      </c>
      <c r="D19" s="386" t="s">
        <v>321</v>
      </c>
      <c r="E19" s="381" t="s">
        <v>316</v>
      </c>
      <c r="F19" s="381" t="s">
        <v>322</v>
      </c>
      <c r="G19" s="382">
        <v>8000</v>
      </c>
      <c r="H19" s="387"/>
    </row>
    <row r="20" spans="1:7" ht="15.75" customHeight="1">
      <c r="A20" s="367" t="s">
        <v>323</v>
      </c>
      <c r="B20" s="368"/>
      <c r="C20" s="368"/>
      <c r="D20" s="368"/>
      <c r="E20" s="368"/>
      <c r="F20" s="368"/>
      <c r="G20" s="388">
        <f>G21+G22</f>
        <v>211176.4</v>
      </c>
    </row>
    <row r="21" spans="1:7" ht="51">
      <c r="A21" s="379">
        <v>1</v>
      </c>
      <c r="B21" s="380">
        <v>801</v>
      </c>
      <c r="C21" s="380">
        <v>80104</v>
      </c>
      <c r="D21" s="380" t="s">
        <v>296</v>
      </c>
      <c r="E21" s="381" t="s">
        <v>324</v>
      </c>
      <c r="F21" s="381" t="s">
        <v>325</v>
      </c>
      <c r="G21" s="389">
        <f>113760+7584+84647.8-10000+10000+2000</f>
        <v>207991.8</v>
      </c>
    </row>
    <row r="22" spans="1:7" ht="51">
      <c r="A22" s="379">
        <v>2</v>
      </c>
      <c r="B22" s="380">
        <v>854</v>
      </c>
      <c r="C22" s="380">
        <v>85404</v>
      </c>
      <c r="D22" s="380" t="s">
        <v>296</v>
      </c>
      <c r="E22" s="381" t="s">
        <v>324</v>
      </c>
      <c r="F22" s="381" t="s">
        <v>326</v>
      </c>
      <c r="G22" s="389">
        <f>4346.4+138.2-1300</f>
        <v>3184.5999999999995</v>
      </c>
    </row>
    <row r="23" spans="1:7" ht="15.75" customHeight="1">
      <c r="A23" s="383" t="s">
        <v>327</v>
      </c>
      <c r="B23" s="384"/>
      <c r="C23" s="384"/>
      <c r="D23" s="384"/>
      <c r="E23" s="384"/>
      <c r="F23" s="384"/>
      <c r="G23" s="385">
        <f>G24+G41</f>
        <v>997320.02</v>
      </c>
    </row>
    <row r="24" spans="1:7" ht="15.75" customHeight="1">
      <c r="A24" s="367" t="s">
        <v>328</v>
      </c>
      <c r="B24" s="368"/>
      <c r="C24" s="368"/>
      <c r="D24" s="368"/>
      <c r="E24" s="368"/>
      <c r="F24" s="368"/>
      <c r="G24" s="388">
        <f>SUM(G25:G40)</f>
        <v>785189.84</v>
      </c>
    </row>
    <row r="25" spans="1:7" ht="41.25" customHeight="1">
      <c r="A25" s="379">
        <v>1</v>
      </c>
      <c r="B25" s="380">
        <v>851</v>
      </c>
      <c r="C25" s="380">
        <v>85154</v>
      </c>
      <c r="D25" s="386" t="s">
        <v>329</v>
      </c>
      <c r="E25" s="381" t="s">
        <v>316</v>
      </c>
      <c r="F25" s="381" t="s">
        <v>330</v>
      </c>
      <c r="G25" s="382">
        <v>36000</v>
      </c>
    </row>
    <row r="26" spans="1:7" ht="41.25" customHeight="1">
      <c r="A26" s="379">
        <v>2</v>
      </c>
      <c r="B26" s="380">
        <v>851</v>
      </c>
      <c r="C26" s="380">
        <v>85121</v>
      </c>
      <c r="D26" s="386" t="s">
        <v>331</v>
      </c>
      <c r="E26" s="381" t="s">
        <v>332</v>
      </c>
      <c r="F26" s="381" t="s">
        <v>333</v>
      </c>
      <c r="G26" s="382">
        <v>20000</v>
      </c>
    </row>
    <row r="27" spans="1:7" ht="81.75" customHeight="1">
      <c r="A27" s="379">
        <v>3</v>
      </c>
      <c r="B27" s="380">
        <v>851</v>
      </c>
      <c r="C27" s="380">
        <v>85121</v>
      </c>
      <c r="D27" s="386" t="s">
        <v>331</v>
      </c>
      <c r="E27" s="381" t="s">
        <v>332</v>
      </c>
      <c r="F27" s="390" t="s">
        <v>358</v>
      </c>
      <c r="G27" s="382">
        <v>80000</v>
      </c>
    </row>
    <row r="28" spans="1:7" ht="54" customHeight="1">
      <c r="A28" s="379">
        <v>4</v>
      </c>
      <c r="B28" s="380">
        <v>921</v>
      </c>
      <c r="C28" s="380">
        <v>92109</v>
      </c>
      <c r="D28" s="386" t="s">
        <v>36</v>
      </c>
      <c r="E28" s="381" t="s">
        <v>316</v>
      </c>
      <c r="F28" s="381" t="s">
        <v>359</v>
      </c>
      <c r="G28" s="382">
        <f>156742-39261-30666</f>
        <v>86815</v>
      </c>
    </row>
    <row r="29" spans="1:7" ht="66.75" customHeight="1">
      <c r="A29" s="391">
        <v>5</v>
      </c>
      <c r="B29" s="392" t="s">
        <v>247</v>
      </c>
      <c r="C29" s="392" t="s">
        <v>265</v>
      </c>
      <c r="D29" s="393" t="s">
        <v>334</v>
      </c>
      <c r="E29" s="394" t="s">
        <v>305</v>
      </c>
      <c r="F29" s="394" t="s">
        <v>360</v>
      </c>
      <c r="G29" s="395">
        <v>100710</v>
      </c>
    </row>
    <row r="30" spans="1:7" ht="53.25" customHeight="1">
      <c r="A30" s="379">
        <v>6</v>
      </c>
      <c r="B30" s="392" t="s">
        <v>247</v>
      </c>
      <c r="C30" s="392" t="s">
        <v>265</v>
      </c>
      <c r="D30" s="393" t="s">
        <v>334</v>
      </c>
      <c r="E30" s="394" t="s">
        <v>305</v>
      </c>
      <c r="F30" s="394" t="s">
        <v>361</v>
      </c>
      <c r="G30" s="395">
        <f>71000-21000</f>
        <v>50000</v>
      </c>
    </row>
    <row r="31" spans="1:7" ht="41.25" customHeight="1">
      <c r="A31" s="391">
        <v>7</v>
      </c>
      <c r="B31" s="392" t="s">
        <v>247</v>
      </c>
      <c r="C31" s="392" t="s">
        <v>265</v>
      </c>
      <c r="D31" s="393" t="s">
        <v>334</v>
      </c>
      <c r="E31" s="394" t="s">
        <v>305</v>
      </c>
      <c r="F31" s="396" t="s">
        <v>362</v>
      </c>
      <c r="G31" s="395">
        <v>15000</v>
      </c>
    </row>
    <row r="32" spans="1:7" ht="43.5" customHeight="1">
      <c r="A32" s="379">
        <v>8</v>
      </c>
      <c r="B32" s="392" t="s">
        <v>247</v>
      </c>
      <c r="C32" s="392" t="s">
        <v>265</v>
      </c>
      <c r="D32" s="393" t="s">
        <v>334</v>
      </c>
      <c r="E32" s="394" t="s">
        <v>305</v>
      </c>
      <c r="F32" s="396" t="s">
        <v>363</v>
      </c>
      <c r="G32" s="395">
        <f>30000-20000</f>
        <v>10000</v>
      </c>
    </row>
    <row r="33" spans="1:9" ht="55.5" customHeight="1">
      <c r="A33" s="391">
        <v>9</v>
      </c>
      <c r="B33" s="392" t="s">
        <v>247</v>
      </c>
      <c r="C33" s="392" t="s">
        <v>265</v>
      </c>
      <c r="D33" s="393" t="s">
        <v>334</v>
      </c>
      <c r="E33" s="394" t="s">
        <v>305</v>
      </c>
      <c r="F33" s="396" t="s">
        <v>364</v>
      </c>
      <c r="G33" s="395">
        <f>87000-25000</f>
        <v>62000</v>
      </c>
      <c r="I33" s="387"/>
    </row>
    <row r="34" spans="1:9" ht="68.25" customHeight="1">
      <c r="A34" s="379">
        <v>10</v>
      </c>
      <c r="B34" s="392" t="s">
        <v>247</v>
      </c>
      <c r="C34" s="392" t="s">
        <v>265</v>
      </c>
      <c r="D34" s="393" t="s">
        <v>334</v>
      </c>
      <c r="E34" s="394" t="s">
        <v>305</v>
      </c>
      <c r="F34" s="394" t="s">
        <v>365</v>
      </c>
      <c r="G34" s="395">
        <v>32000</v>
      </c>
      <c r="I34" s="387"/>
    </row>
    <row r="35" spans="1:9" ht="56.25" customHeight="1">
      <c r="A35" s="391">
        <v>11</v>
      </c>
      <c r="B35" s="392" t="s">
        <v>247</v>
      </c>
      <c r="C35" s="392" t="s">
        <v>265</v>
      </c>
      <c r="D35" s="393" t="s">
        <v>334</v>
      </c>
      <c r="E35" s="394" t="s">
        <v>305</v>
      </c>
      <c r="F35" s="394" t="s">
        <v>366</v>
      </c>
      <c r="G35" s="395">
        <f>35000-7000</f>
        <v>28000</v>
      </c>
      <c r="I35" s="387"/>
    </row>
    <row r="36" spans="1:7" ht="44.25" customHeight="1">
      <c r="A36" s="379">
        <v>12</v>
      </c>
      <c r="B36" s="397" t="s">
        <v>253</v>
      </c>
      <c r="C36" s="397" t="s">
        <v>335</v>
      </c>
      <c r="D36" s="393" t="s">
        <v>310</v>
      </c>
      <c r="E36" s="394" t="s">
        <v>305</v>
      </c>
      <c r="F36" s="396" t="s">
        <v>367</v>
      </c>
      <c r="G36" s="395">
        <v>8000</v>
      </c>
    </row>
    <row r="37" spans="1:7" ht="71.25" customHeight="1">
      <c r="A37" s="379">
        <v>13</v>
      </c>
      <c r="B37" s="392" t="s">
        <v>255</v>
      </c>
      <c r="C37" s="392" t="s">
        <v>336</v>
      </c>
      <c r="D37" s="393" t="s">
        <v>337</v>
      </c>
      <c r="E37" s="394" t="s">
        <v>305</v>
      </c>
      <c r="F37" s="394" t="s">
        <v>368</v>
      </c>
      <c r="G37" s="395">
        <v>8610</v>
      </c>
    </row>
    <row r="38" spans="1:7" ht="54" customHeight="1">
      <c r="A38" s="379">
        <v>14</v>
      </c>
      <c r="B38" s="380">
        <v>801</v>
      </c>
      <c r="C38" s="380">
        <v>80104</v>
      </c>
      <c r="D38" s="380" t="s">
        <v>296</v>
      </c>
      <c r="E38" s="381" t="s">
        <v>338</v>
      </c>
      <c r="F38" s="381" t="s">
        <v>339</v>
      </c>
      <c r="G38" s="389">
        <f>60000+12954.84+15100+10000</f>
        <v>98054.84</v>
      </c>
    </row>
    <row r="39" spans="1:7" ht="30.75" customHeight="1">
      <c r="A39" s="379">
        <v>15</v>
      </c>
      <c r="B39" s="380">
        <v>600</v>
      </c>
      <c r="C39" s="380">
        <v>60004</v>
      </c>
      <c r="D39" s="398" t="s">
        <v>340</v>
      </c>
      <c r="E39" s="399" t="s">
        <v>341</v>
      </c>
      <c r="F39" s="399" t="s">
        <v>342</v>
      </c>
      <c r="G39" s="382">
        <v>50000</v>
      </c>
    </row>
    <row r="40" spans="1:7" ht="66" customHeight="1" thickBot="1">
      <c r="A40" s="379">
        <v>16</v>
      </c>
      <c r="B40" s="380">
        <v>600</v>
      </c>
      <c r="C40" s="380">
        <v>60014</v>
      </c>
      <c r="D40" s="386" t="s">
        <v>25</v>
      </c>
      <c r="E40" s="381" t="s">
        <v>343</v>
      </c>
      <c r="F40" s="381" t="s">
        <v>369</v>
      </c>
      <c r="G40" s="382">
        <v>100000</v>
      </c>
    </row>
    <row r="41" spans="1:7" ht="15.75" customHeight="1">
      <c r="A41" s="367" t="s">
        <v>344</v>
      </c>
      <c r="B41" s="368"/>
      <c r="C41" s="368"/>
      <c r="D41" s="368"/>
      <c r="E41" s="368"/>
      <c r="F41" s="368"/>
      <c r="G41" s="388">
        <f>SUM(G42:G44)</f>
        <v>212130.18</v>
      </c>
    </row>
    <row r="42" spans="1:9" ht="38.25">
      <c r="A42" s="400">
        <v>1</v>
      </c>
      <c r="B42" s="401">
        <v>926</v>
      </c>
      <c r="C42" s="401">
        <v>92605</v>
      </c>
      <c r="D42" s="402" t="s">
        <v>321</v>
      </c>
      <c r="E42" s="402" t="s">
        <v>345</v>
      </c>
      <c r="F42" s="403" t="s">
        <v>346</v>
      </c>
      <c r="G42" s="404">
        <f>85000+5000</f>
        <v>90000</v>
      </c>
      <c r="I42" s="405">
        <f>G45-G30-G31-G32-G37-G33-G28-G34-G35-G44-G36-G29-G40-G27</f>
        <v>2095631.2399999998</v>
      </c>
    </row>
    <row r="43" spans="1:7" s="341" customFormat="1" ht="40.5" customHeight="1">
      <c r="A43" s="406">
        <v>2</v>
      </c>
      <c r="B43" s="407">
        <v>921</v>
      </c>
      <c r="C43" s="407">
        <v>92120</v>
      </c>
      <c r="D43" s="408" t="s">
        <v>347</v>
      </c>
      <c r="E43" s="408" t="s">
        <v>348</v>
      </c>
      <c r="F43" s="408" t="s">
        <v>349</v>
      </c>
      <c r="G43" s="409">
        <f>20400+40000</f>
        <v>60400</v>
      </c>
    </row>
    <row r="44" spans="1:7" s="341" customFormat="1" ht="40.5" customHeight="1" thickBot="1">
      <c r="A44" s="410">
        <v>3</v>
      </c>
      <c r="B44" s="411">
        <v>754</v>
      </c>
      <c r="C44" s="411">
        <v>75412</v>
      </c>
      <c r="D44" s="412" t="s">
        <v>350</v>
      </c>
      <c r="E44" s="412" t="s">
        <v>348</v>
      </c>
      <c r="F44" s="413" t="s">
        <v>351</v>
      </c>
      <c r="G44" s="414">
        <f>20215+20757.59*2</f>
        <v>61730.18</v>
      </c>
    </row>
    <row r="45" spans="1:9" ht="19.5" customHeight="1" thickBot="1">
      <c r="A45" s="579" t="s">
        <v>352</v>
      </c>
      <c r="B45" s="579"/>
      <c r="C45" s="579"/>
      <c r="D45" s="579"/>
      <c r="E45" s="579"/>
      <c r="F45" s="579"/>
      <c r="G45" s="415">
        <f>G23+G14+G5</f>
        <v>2738496.42</v>
      </c>
      <c r="I45" s="405"/>
    </row>
    <row r="46" spans="1:9" ht="19.5" customHeight="1" thickBot="1">
      <c r="A46" s="583" t="s">
        <v>353</v>
      </c>
      <c r="B46" s="584"/>
      <c r="C46" s="584"/>
      <c r="D46" s="584"/>
      <c r="E46" s="584"/>
      <c r="F46" s="585"/>
      <c r="G46" s="415">
        <f>I42</f>
        <v>2095631.2399999998</v>
      </c>
      <c r="I46" s="405"/>
    </row>
    <row r="47" spans="2:8" ht="12.75">
      <c r="B47" s="416"/>
      <c r="D47" s="416"/>
      <c r="H47" s="387"/>
    </row>
  </sheetData>
  <mergeCells count="4">
    <mergeCell ref="A1:G1"/>
    <mergeCell ref="A45:F45"/>
    <mergeCell ref="E7:E13"/>
    <mergeCell ref="A46:F46"/>
  </mergeCells>
  <printOptions horizontalCentered="1"/>
  <pageMargins left="0.7874015748031497" right="0.7874015748031497" top="0.7874015748031497" bottom="0.5511811023622047" header="0.1968503937007874" footer="0.2755905511811024"/>
  <pageSetup fitToHeight="2" fitToWidth="1" horizontalDpi="600" verticalDpi="600" orientation="portrait" paperSize="9" scale="89" r:id="rId1"/>
  <headerFooter alignWithMargins="0">
    <oddHeader>&amp;R&amp;"Arial CE,Pogrubiony"Załącznik Nr &amp;A&amp;"Arial CE,Standardowy"
do Uchwały Nr XXVIII/177/2012 
      Rady Gminy Miłkowice
z dnia 28 grudnia 2012r.</oddHeader>
    <oddFooter>&amp;CStrona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19"/>
  <sheetViews>
    <sheetView zoomScale="90" zoomScaleNormal="90" workbookViewId="0" topLeftCell="A1">
      <selection activeCell="E21" sqref="E21"/>
    </sheetView>
  </sheetViews>
  <sheetFormatPr defaultColWidth="9.33203125" defaultRowHeight="12.75"/>
  <cols>
    <col min="1" max="1" width="6" style="253" customWidth="1"/>
    <col min="2" max="2" width="9.66015625" style="253" customWidth="1"/>
    <col min="3" max="3" width="15.66015625" style="253" customWidth="1"/>
    <col min="4" max="4" width="16.16015625" style="253" customWidth="1"/>
    <col min="5" max="5" width="14.83203125" style="253" customWidth="1"/>
    <col min="6" max="6" width="17" style="252" customWidth="1"/>
    <col min="7" max="7" width="14.5" style="252" customWidth="1"/>
    <col min="8" max="8" width="17.33203125" style="252" customWidth="1"/>
    <col min="9" max="16384" width="10" style="252" customWidth="1"/>
  </cols>
  <sheetData>
    <row r="1" spans="1:8" ht="48.75" customHeight="1">
      <c r="A1" s="588" t="s">
        <v>257</v>
      </c>
      <c r="B1" s="588"/>
      <c r="C1" s="588"/>
      <c r="D1" s="588"/>
      <c r="E1" s="588"/>
      <c r="F1" s="588"/>
      <c r="G1" s="588"/>
      <c r="H1" s="588"/>
    </row>
    <row r="2" ht="12.75">
      <c r="H2" s="254" t="s">
        <v>258</v>
      </c>
    </row>
    <row r="3" spans="1:8" s="256" customFormat="1" ht="20.25" customHeight="1">
      <c r="A3" s="589" t="s">
        <v>0</v>
      </c>
      <c r="B3" s="589" t="s">
        <v>1</v>
      </c>
      <c r="C3" s="590" t="s">
        <v>259</v>
      </c>
      <c r="D3" s="590" t="s">
        <v>260</v>
      </c>
      <c r="E3" s="590" t="s">
        <v>6</v>
      </c>
      <c r="F3" s="590"/>
      <c r="G3" s="590"/>
      <c r="H3" s="590"/>
    </row>
    <row r="4" spans="1:8" s="256" customFormat="1" ht="20.25" customHeight="1">
      <c r="A4" s="589"/>
      <c r="B4" s="589"/>
      <c r="C4" s="590"/>
      <c r="D4" s="590"/>
      <c r="E4" s="590" t="s">
        <v>261</v>
      </c>
      <c r="F4" s="590" t="s">
        <v>9</v>
      </c>
      <c r="G4" s="590"/>
      <c r="H4" s="590" t="s">
        <v>262</v>
      </c>
    </row>
    <row r="5" spans="1:8" s="256" customFormat="1" ht="65.25" customHeight="1">
      <c r="A5" s="589"/>
      <c r="B5" s="589"/>
      <c r="C5" s="590"/>
      <c r="D5" s="590"/>
      <c r="E5" s="590"/>
      <c r="F5" s="255" t="s">
        <v>263</v>
      </c>
      <c r="G5" s="255" t="s">
        <v>264</v>
      </c>
      <c r="H5" s="590"/>
    </row>
    <row r="6" spans="1:8" ht="9" customHeight="1">
      <c r="A6" s="257">
        <v>1</v>
      </c>
      <c r="B6" s="257">
        <v>2</v>
      </c>
      <c r="C6" s="257">
        <v>3</v>
      </c>
      <c r="D6" s="257">
        <v>4</v>
      </c>
      <c r="E6" s="257">
        <v>5</v>
      </c>
      <c r="F6" s="257">
        <v>6</v>
      </c>
      <c r="G6" s="257">
        <v>7</v>
      </c>
      <c r="H6" s="257">
        <v>8</v>
      </c>
    </row>
    <row r="7" spans="1:8" ht="19.5" customHeight="1">
      <c r="A7" s="258" t="s">
        <v>247</v>
      </c>
      <c r="B7" s="258" t="s">
        <v>265</v>
      </c>
      <c r="C7" s="259">
        <v>253985.5</v>
      </c>
      <c r="D7" s="259">
        <v>253985.5</v>
      </c>
      <c r="E7" s="259">
        <v>253985.5</v>
      </c>
      <c r="F7" s="259">
        <v>4980.1</v>
      </c>
      <c r="G7" s="260"/>
      <c r="H7" s="260"/>
    </row>
    <row r="8" spans="1:8" ht="19.5" customHeight="1">
      <c r="A8" s="261">
        <v>750</v>
      </c>
      <c r="B8" s="261">
        <v>75011</v>
      </c>
      <c r="C8" s="262">
        <v>69019</v>
      </c>
      <c r="D8" s="262">
        <v>69019</v>
      </c>
      <c r="E8" s="262">
        <v>69019</v>
      </c>
      <c r="F8" s="262">
        <v>69019</v>
      </c>
      <c r="G8" s="262"/>
      <c r="H8" s="262"/>
    </row>
    <row r="9" spans="1:8" ht="19.5" customHeight="1">
      <c r="A9" s="261">
        <v>751</v>
      </c>
      <c r="B9" s="261">
        <v>75101</v>
      </c>
      <c r="C9" s="262">
        <v>1070</v>
      </c>
      <c r="D9" s="262">
        <v>1070</v>
      </c>
      <c r="E9" s="262">
        <v>1070</v>
      </c>
      <c r="F9" s="262">
        <v>1070</v>
      </c>
      <c r="G9" s="262"/>
      <c r="H9" s="262"/>
    </row>
    <row r="10" spans="1:8" ht="19.5" customHeight="1">
      <c r="A10" s="261">
        <v>752</v>
      </c>
      <c r="B10" s="261">
        <v>75212</v>
      </c>
      <c r="C10" s="262">
        <v>200</v>
      </c>
      <c r="D10" s="262">
        <f>E10+H10</f>
        <v>200</v>
      </c>
      <c r="E10" s="262">
        <v>200</v>
      </c>
      <c r="F10" s="262"/>
      <c r="G10" s="262"/>
      <c r="H10" s="262"/>
    </row>
    <row r="11" spans="1:8" ht="19.5" customHeight="1">
      <c r="A11" s="261">
        <v>754</v>
      </c>
      <c r="B11" s="261">
        <v>75414</v>
      </c>
      <c r="C11" s="262">
        <v>1000</v>
      </c>
      <c r="D11" s="262">
        <f>E11+H11</f>
        <v>1000</v>
      </c>
      <c r="E11" s="262">
        <v>1000</v>
      </c>
      <c r="F11" s="262"/>
      <c r="G11" s="262"/>
      <c r="H11" s="262"/>
    </row>
    <row r="12" spans="1:8" ht="19.5" customHeight="1">
      <c r="A12" s="261">
        <v>852</v>
      </c>
      <c r="B12" s="261">
        <v>85212</v>
      </c>
      <c r="C12" s="262">
        <v>1556000</v>
      </c>
      <c r="D12" s="262">
        <f>C12</f>
        <v>1556000</v>
      </c>
      <c r="E12" s="262">
        <f>D12</f>
        <v>1556000</v>
      </c>
      <c r="F12" s="262">
        <f>33364.45+2513.55+5986+844</f>
        <v>42708</v>
      </c>
      <c r="G12" s="262">
        <v>1509320</v>
      </c>
      <c r="H12" s="262"/>
    </row>
    <row r="13" spans="1:8" ht="19.5" customHeight="1">
      <c r="A13" s="261">
        <v>852</v>
      </c>
      <c r="B13" s="261">
        <v>85213</v>
      </c>
      <c r="C13" s="262">
        <v>4850</v>
      </c>
      <c r="D13" s="262">
        <f>E13</f>
        <v>4850</v>
      </c>
      <c r="E13" s="262">
        <f>5300-450</f>
        <v>4850</v>
      </c>
      <c r="F13" s="262"/>
      <c r="G13" s="262"/>
      <c r="H13" s="262"/>
    </row>
    <row r="14" spans="1:8" ht="19.5" customHeight="1">
      <c r="A14" s="261">
        <v>852</v>
      </c>
      <c r="B14" s="261">
        <v>85219</v>
      </c>
      <c r="C14" s="262">
        <v>5768</v>
      </c>
      <c r="D14" s="262">
        <f>E14</f>
        <v>5768</v>
      </c>
      <c r="E14" s="262">
        <f>4571+1197</f>
        <v>5768</v>
      </c>
      <c r="F14" s="262"/>
      <c r="G14" s="262">
        <v>5682</v>
      </c>
      <c r="H14" s="262"/>
    </row>
    <row r="15" spans="1:8" ht="19.5" customHeight="1" thickBot="1">
      <c r="A15" s="436">
        <v>852</v>
      </c>
      <c r="B15" s="436">
        <v>85295</v>
      </c>
      <c r="C15" s="437">
        <v>11700</v>
      </c>
      <c r="D15" s="437">
        <f>E15</f>
        <v>11700</v>
      </c>
      <c r="E15" s="437">
        <f>G15</f>
        <v>11700</v>
      </c>
      <c r="F15" s="437"/>
      <c r="G15" s="437">
        <v>11700</v>
      </c>
      <c r="H15" s="437"/>
    </row>
    <row r="16" spans="1:8" ht="19.5" customHeight="1" thickBot="1">
      <c r="A16" s="586" t="s">
        <v>266</v>
      </c>
      <c r="B16" s="587"/>
      <c r="C16" s="438">
        <f aca="true" t="shared" si="0" ref="C16:H16">SUM(C7:C15)</f>
        <v>1903592.5</v>
      </c>
      <c r="D16" s="438">
        <f t="shared" si="0"/>
        <v>1903592.5</v>
      </c>
      <c r="E16" s="438">
        <f t="shared" si="0"/>
        <v>1903592.5</v>
      </c>
      <c r="F16" s="438">
        <f t="shared" si="0"/>
        <v>117777.1</v>
      </c>
      <c r="G16" s="439">
        <f t="shared" si="0"/>
        <v>1526702</v>
      </c>
      <c r="H16" s="440">
        <f t="shared" si="0"/>
        <v>0</v>
      </c>
    </row>
    <row r="18" ht="12.75">
      <c r="A18" s="263"/>
    </row>
    <row r="19" ht="12.75">
      <c r="B19" s="264"/>
    </row>
  </sheetData>
  <mergeCells count="10">
    <mergeCell ref="A16:B16"/>
    <mergeCell ref="A1:H1"/>
    <mergeCell ref="A3:A5"/>
    <mergeCell ref="B3:B5"/>
    <mergeCell ref="C3:C5"/>
    <mergeCell ref="D3:D5"/>
    <mergeCell ref="E3:H3"/>
    <mergeCell ref="E4:E5"/>
    <mergeCell ref="F4:G4"/>
    <mergeCell ref="H4:H5"/>
  </mergeCells>
  <printOptions horizontalCentered="1"/>
  <pageMargins left="0.7874015748031497" right="0.7874015748031497" top="1.141732283464567" bottom="1.062992125984252" header="0.4330708661417323" footer="0.7874015748031497"/>
  <pageSetup horizontalDpi="600" verticalDpi="600" orientation="landscape" paperSize="9" r:id="rId1"/>
  <headerFooter alignWithMargins="0">
    <oddHeader>&amp;R&amp;"Arial CE,Pogrubiony"Załącznik Nr &amp;A
&amp;"Arial CE,Standardowy"do Uchwały Nr XXVIII/177/2012 
Rady Gminy Miłkowice
z dnia 28 grudnia 2012r.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zoomScale="90" zoomScaleNormal="90" workbookViewId="0" topLeftCell="A7">
      <selection activeCell="L22" sqref="L22"/>
    </sheetView>
  </sheetViews>
  <sheetFormatPr defaultColWidth="9.33203125" defaultRowHeight="12.75"/>
  <cols>
    <col min="1" max="1" width="6.5" style="265" customWidth="1"/>
    <col min="2" max="2" width="10" style="265" customWidth="1"/>
    <col min="3" max="3" width="46.16015625" style="265" customWidth="1"/>
    <col min="4" max="4" width="13.33203125" style="265" customWidth="1"/>
    <col min="5" max="5" width="17.16015625" style="265" customWidth="1"/>
    <col min="6" max="6" width="15.66015625" style="265" customWidth="1"/>
    <col min="7" max="7" width="13.16015625" style="265" hidden="1" customWidth="1"/>
    <col min="8" max="16384" width="10" style="265" customWidth="1"/>
  </cols>
  <sheetData>
    <row r="1" spans="3:4" ht="5.25" customHeight="1">
      <c r="C1" s="266"/>
      <c r="D1" s="266"/>
    </row>
    <row r="2" spans="1:7" ht="15.75">
      <c r="A2" s="599" t="s">
        <v>267</v>
      </c>
      <c r="B2" s="599"/>
      <c r="C2" s="599"/>
      <c r="D2" s="599"/>
      <c r="E2" s="599"/>
      <c r="F2" s="599"/>
      <c r="G2" s="599"/>
    </row>
    <row r="3" spans="1:7" ht="15.75" customHeight="1">
      <c r="A3" s="599" t="s">
        <v>268</v>
      </c>
      <c r="B3" s="599"/>
      <c r="C3" s="599"/>
      <c r="D3" s="599"/>
      <c r="E3" s="599"/>
      <c r="F3" s="599"/>
      <c r="G3" s="599"/>
    </row>
    <row r="4" spans="1:7" ht="15.75" customHeight="1">
      <c r="A4" s="600" t="s">
        <v>269</v>
      </c>
      <c r="B4" s="600"/>
      <c r="C4" s="600"/>
      <c r="D4" s="600"/>
      <c r="E4" s="600"/>
      <c r="F4" s="600"/>
      <c r="G4" s="600"/>
    </row>
    <row r="5" spans="1:7" ht="8.25" customHeight="1">
      <c r="A5" s="267"/>
      <c r="B5" s="267"/>
      <c r="C5" s="267"/>
      <c r="D5" s="267"/>
      <c r="E5" s="267"/>
      <c r="F5" s="267"/>
      <c r="G5" s="267"/>
    </row>
    <row r="6" spans="1:7" ht="24.75" customHeight="1">
      <c r="A6" s="268" t="s">
        <v>270</v>
      </c>
      <c r="B6" s="269" t="s">
        <v>271</v>
      </c>
      <c r="C6" s="269" t="s">
        <v>272</v>
      </c>
      <c r="D6" s="270" t="s">
        <v>273</v>
      </c>
      <c r="E6" s="269" t="s">
        <v>274</v>
      </c>
      <c r="F6" s="269" t="s">
        <v>275</v>
      </c>
      <c r="G6" s="271" t="s">
        <v>276</v>
      </c>
    </row>
    <row r="7" spans="1:7" ht="18" customHeight="1">
      <c r="A7" s="601" t="s">
        <v>274</v>
      </c>
      <c r="B7" s="602"/>
      <c r="C7" s="602"/>
      <c r="D7" s="272">
        <v>0</v>
      </c>
      <c r="E7" s="272">
        <f>E8</f>
        <v>203300</v>
      </c>
      <c r="F7" s="273"/>
      <c r="G7" s="274"/>
    </row>
    <row r="8" spans="1:7" ht="15.75" customHeight="1">
      <c r="A8" s="275" t="s">
        <v>252</v>
      </c>
      <c r="B8" s="276" t="s">
        <v>277</v>
      </c>
      <c r="C8" s="277" t="s">
        <v>29</v>
      </c>
      <c r="D8" s="278"/>
      <c r="E8" s="278">
        <f>E9+E13</f>
        <v>203300</v>
      </c>
      <c r="F8" s="279"/>
      <c r="G8" s="280"/>
    </row>
    <row r="9" spans="1:8" ht="17.25" customHeight="1">
      <c r="A9" s="596" t="s">
        <v>278</v>
      </c>
      <c r="B9" s="597"/>
      <c r="C9" s="598"/>
      <c r="D9" s="281"/>
      <c r="E9" s="282">
        <f>SUM(E10:E12)</f>
        <v>32800</v>
      </c>
      <c r="F9" s="283"/>
      <c r="G9" s="284"/>
      <c r="H9" s="285"/>
    </row>
    <row r="10" spans="1:7" ht="15.75" customHeight="1">
      <c r="A10" s="286"/>
      <c r="B10" s="287"/>
      <c r="C10" s="288" t="s">
        <v>279</v>
      </c>
      <c r="D10" s="289"/>
      <c r="E10" s="290">
        <v>800</v>
      </c>
      <c r="F10" s="291"/>
      <c r="G10" s="292"/>
    </row>
    <row r="11" spans="1:7" ht="15.75" customHeight="1">
      <c r="A11" s="286"/>
      <c r="B11" s="287"/>
      <c r="C11" s="293" t="s">
        <v>280</v>
      </c>
      <c r="D11" s="294"/>
      <c r="E11" s="295">
        <v>5000</v>
      </c>
      <c r="F11" s="296"/>
      <c r="G11" s="297"/>
    </row>
    <row r="12" spans="1:7" ht="15.75" customHeight="1">
      <c r="A12" s="286"/>
      <c r="B12" s="287"/>
      <c r="C12" s="298" t="s">
        <v>281</v>
      </c>
      <c r="D12" s="299"/>
      <c r="E12" s="300">
        <v>27000</v>
      </c>
      <c r="F12" s="301"/>
      <c r="G12" s="302"/>
    </row>
    <row r="13" spans="1:8" ht="18.75" customHeight="1">
      <c r="A13" s="596" t="s">
        <v>282</v>
      </c>
      <c r="B13" s="597"/>
      <c r="C13" s="598"/>
      <c r="D13" s="303"/>
      <c r="E13" s="304">
        <f>SUM(E14:E16)</f>
        <v>170500</v>
      </c>
      <c r="F13" s="279"/>
      <c r="G13" s="280"/>
      <c r="H13" s="285"/>
    </row>
    <row r="14" spans="1:7" ht="15.75" customHeight="1">
      <c r="A14" s="286"/>
      <c r="B14" s="287"/>
      <c r="C14" s="288" t="s">
        <v>279</v>
      </c>
      <c r="D14" s="289"/>
      <c r="E14" s="290">
        <v>7000</v>
      </c>
      <c r="F14" s="291"/>
      <c r="G14" s="292"/>
    </row>
    <row r="15" spans="1:7" ht="15.75" customHeight="1">
      <c r="A15" s="286"/>
      <c r="B15" s="287"/>
      <c r="C15" s="293" t="s">
        <v>280</v>
      </c>
      <c r="D15" s="294"/>
      <c r="E15" s="295">
        <v>28500</v>
      </c>
      <c r="F15" s="296"/>
      <c r="G15" s="297"/>
    </row>
    <row r="16" spans="1:7" ht="15.75" customHeight="1">
      <c r="A16" s="286"/>
      <c r="B16" s="287"/>
      <c r="C16" s="305" t="s">
        <v>281</v>
      </c>
      <c r="D16" s="299"/>
      <c r="E16" s="306">
        <v>135000</v>
      </c>
      <c r="F16" s="301"/>
      <c r="G16" s="302"/>
    </row>
    <row r="17" spans="1:7" ht="8.25" customHeight="1">
      <c r="A17" s="307"/>
      <c r="B17" s="308"/>
      <c r="C17" s="309"/>
      <c r="D17" s="310"/>
      <c r="E17" s="311"/>
      <c r="F17" s="312"/>
      <c r="G17" s="280"/>
    </row>
    <row r="18" spans="1:7" ht="18" customHeight="1">
      <c r="A18" s="591" t="s">
        <v>275</v>
      </c>
      <c r="B18" s="592"/>
      <c r="C18" s="592"/>
      <c r="D18" s="313"/>
      <c r="E18" s="314"/>
      <c r="F18" s="272">
        <f>F19</f>
        <v>203300</v>
      </c>
      <c r="G18" s="315"/>
    </row>
    <row r="19" spans="1:7" ht="15.75" customHeight="1">
      <c r="A19" s="275" t="s">
        <v>252</v>
      </c>
      <c r="B19" s="276" t="s">
        <v>277</v>
      </c>
      <c r="C19" s="277" t="s">
        <v>29</v>
      </c>
      <c r="D19" s="316"/>
      <c r="E19" s="279"/>
      <c r="F19" s="278">
        <f>F20+F24</f>
        <v>203300</v>
      </c>
      <c r="G19" s="317"/>
    </row>
    <row r="20" spans="1:7" ht="16.5" customHeight="1">
      <c r="A20" s="596" t="s">
        <v>278</v>
      </c>
      <c r="B20" s="597"/>
      <c r="C20" s="598"/>
      <c r="D20" s="318"/>
      <c r="E20" s="283"/>
      <c r="F20" s="319">
        <f>SUM(F21:F23)</f>
        <v>32800</v>
      </c>
      <c r="G20" s="284">
        <f>SUM(G21:G23)</f>
        <v>0</v>
      </c>
    </row>
    <row r="21" spans="1:7" ht="15.75" customHeight="1">
      <c r="A21" s="286"/>
      <c r="B21" s="287"/>
      <c r="C21" s="320" t="s">
        <v>283</v>
      </c>
      <c r="D21" s="321"/>
      <c r="E21" s="322"/>
      <c r="F21" s="323">
        <v>3000</v>
      </c>
      <c r="G21" s="324"/>
    </row>
    <row r="22" spans="1:7" ht="15.75" customHeight="1">
      <c r="A22" s="286"/>
      <c r="B22" s="287"/>
      <c r="C22" s="293" t="s">
        <v>284</v>
      </c>
      <c r="D22" s="294"/>
      <c r="E22" s="295"/>
      <c r="F22" s="296">
        <v>3300</v>
      </c>
      <c r="G22" s="297"/>
    </row>
    <row r="23" spans="1:7" ht="15.75" customHeight="1">
      <c r="A23" s="286"/>
      <c r="B23" s="287"/>
      <c r="C23" s="325" t="s">
        <v>285</v>
      </c>
      <c r="D23" s="326"/>
      <c r="E23" s="327"/>
      <c r="F23" s="328">
        <v>26500</v>
      </c>
      <c r="G23" s="329"/>
    </row>
    <row r="24" spans="1:7" ht="18.75" customHeight="1">
      <c r="A24" s="596" t="s">
        <v>282</v>
      </c>
      <c r="B24" s="597"/>
      <c r="C24" s="598"/>
      <c r="D24" s="330"/>
      <c r="E24" s="319"/>
      <c r="F24" s="319">
        <f>SUM(F25:F31)</f>
        <v>170500</v>
      </c>
      <c r="G24" s="331">
        <f>SUM(G25:G31)</f>
        <v>0</v>
      </c>
    </row>
    <row r="25" spans="1:7" ht="15.75" customHeight="1">
      <c r="A25" s="286"/>
      <c r="B25" s="287"/>
      <c r="C25" s="288" t="s">
        <v>286</v>
      </c>
      <c r="D25" s="289"/>
      <c r="E25" s="290"/>
      <c r="F25" s="291">
        <v>1100</v>
      </c>
      <c r="G25" s="292"/>
    </row>
    <row r="26" spans="1:7" ht="15.75" customHeight="1">
      <c r="A26" s="286"/>
      <c r="B26" s="287"/>
      <c r="C26" s="293" t="s">
        <v>287</v>
      </c>
      <c r="D26" s="294"/>
      <c r="E26" s="295"/>
      <c r="F26" s="296">
        <v>180</v>
      </c>
      <c r="G26" s="297"/>
    </row>
    <row r="27" spans="1:7" ht="15.75" customHeight="1">
      <c r="A27" s="286"/>
      <c r="B27" s="287"/>
      <c r="C27" s="293" t="s">
        <v>288</v>
      </c>
      <c r="D27" s="332"/>
      <c r="E27" s="333"/>
      <c r="F27" s="334">
        <v>6160</v>
      </c>
      <c r="G27" s="297"/>
    </row>
    <row r="28" spans="1:7" ht="15.75" customHeight="1">
      <c r="A28" s="286"/>
      <c r="B28" s="287"/>
      <c r="C28" s="293" t="s">
        <v>283</v>
      </c>
      <c r="D28" s="294"/>
      <c r="E28" s="295"/>
      <c r="F28" s="296">
        <v>16000</v>
      </c>
      <c r="G28" s="302"/>
    </row>
    <row r="29" spans="1:7" ht="15.75" customHeight="1">
      <c r="A29" s="286"/>
      <c r="B29" s="287"/>
      <c r="C29" s="305" t="s">
        <v>297</v>
      </c>
      <c r="D29" s="299"/>
      <c r="E29" s="306"/>
      <c r="F29" s="301">
        <v>1000</v>
      </c>
      <c r="G29" s="302"/>
    </row>
    <row r="30" spans="1:7" ht="15.75" customHeight="1">
      <c r="A30" s="286"/>
      <c r="B30" s="287"/>
      <c r="C30" s="293" t="s">
        <v>284</v>
      </c>
      <c r="D30" s="294"/>
      <c r="E30" s="295"/>
      <c r="F30" s="296">
        <v>5280</v>
      </c>
      <c r="G30" s="297"/>
    </row>
    <row r="31" spans="1:7" ht="15.75" customHeight="1" thickBot="1">
      <c r="A31" s="286"/>
      <c r="B31" s="287"/>
      <c r="C31" s="293" t="s">
        <v>285</v>
      </c>
      <c r="D31" s="332"/>
      <c r="E31" s="333"/>
      <c r="F31" s="334">
        <v>140780</v>
      </c>
      <c r="G31" s="297"/>
    </row>
    <row r="32" spans="1:7" ht="24.75" customHeight="1" thickBot="1">
      <c r="A32" s="593" t="s">
        <v>289</v>
      </c>
      <c r="B32" s="594"/>
      <c r="C32" s="594"/>
      <c r="D32" s="335"/>
      <c r="E32" s="336">
        <f>E8+D8</f>
        <v>203300</v>
      </c>
      <c r="F32" s="336">
        <f>F8+E8</f>
        <v>203300</v>
      </c>
      <c r="G32" s="337">
        <f>F18+G18</f>
        <v>203300</v>
      </c>
    </row>
    <row r="33" spans="1:7" ht="12.75">
      <c r="A33" s="338"/>
      <c r="B33" s="338"/>
      <c r="E33" s="339"/>
      <c r="F33" s="339"/>
      <c r="G33" s="339"/>
    </row>
    <row r="35" spans="3:7" ht="25.5" customHeight="1">
      <c r="C35" s="595"/>
      <c r="D35" s="595"/>
      <c r="E35" s="595"/>
      <c r="F35" s="595"/>
      <c r="G35" s="595"/>
    </row>
  </sheetData>
  <mergeCells count="11">
    <mergeCell ref="A2:G2"/>
    <mergeCell ref="A3:G3"/>
    <mergeCell ref="A4:G4"/>
    <mergeCell ref="A7:C7"/>
    <mergeCell ref="A18:C18"/>
    <mergeCell ref="A32:C32"/>
    <mergeCell ref="C35:G35"/>
    <mergeCell ref="A9:C9"/>
    <mergeCell ref="A13:C13"/>
    <mergeCell ref="A20:C20"/>
    <mergeCell ref="A24:C24"/>
  </mergeCells>
  <printOptions horizontalCentered="1"/>
  <pageMargins left="0.7874015748031497" right="0.7874015748031497" top="1.062992125984252" bottom="0.7086614173228347" header="0.2755905511811024" footer="0.4330708661417323"/>
  <pageSetup fitToHeight="1" fitToWidth="1" horizontalDpi="600" verticalDpi="600" orientation="portrait" paperSize="9" scale="99" r:id="rId1"/>
  <headerFooter alignWithMargins="0">
    <oddHeader>&amp;R&amp;"Arial CE,Pogrubiony"Załącznik Nr &amp;A&amp;"Arial CE,Standardowy"
do Uchwały Nr XXVIII/177/2012 
Rady Gminy Miłkowice
z dnia 28 grudnia 2012 r.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B1">
      <selection activeCell="D8" sqref="D8"/>
    </sheetView>
  </sheetViews>
  <sheetFormatPr defaultColWidth="9.33203125" defaultRowHeight="12.75"/>
  <cols>
    <col min="1" max="1" width="6.5" style="341" customWidth="1"/>
    <col min="2" max="2" width="10.33203125" style="341" customWidth="1"/>
    <col min="3" max="3" width="16.66015625" style="341" customWidth="1"/>
    <col min="4" max="4" width="17.33203125" style="341" customWidth="1"/>
    <col min="5" max="5" width="15.83203125" style="341" customWidth="1"/>
    <col min="6" max="6" width="18.16015625" style="340" customWidth="1"/>
    <col min="7" max="7" width="14.33203125" style="340" customWidth="1"/>
    <col min="8" max="8" width="18.5" style="340" customWidth="1"/>
    <col min="9" max="16384" width="10.66015625" style="340" customWidth="1"/>
  </cols>
  <sheetData>
    <row r="1" spans="1:8" ht="48.75" customHeight="1">
      <c r="A1" s="605" t="s">
        <v>290</v>
      </c>
      <c r="B1" s="605"/>
      <c r="C1" s="605"/>
      <c r="D1" s="605"/>
      <c r="E1" s="605"/>
      <c r="F1" s="605"/>
      <c r="G1" s="605"/>
      <c r="H1" s="605"/>
    </row>
    <row r="2" ht="12.75">
      <c r="H2" s="342" t="s">
        <v>258</v>
      </c>
    </row>
    <row r="3" spans="1:8" s="343" customFormat="1" ht="20.25" customHeight="1">
      <c r="A3" s="606" t="s">
        <v>0</v>
      </c>
      <c r="B3" s="606" t="s">
        <v>1</v>
      </c>
      <c r="C3" s="607" t="s">
        <v>259</v>
      </c>
      <c r="D3" s="607" t="s">
        <v>260</v>
      </c>
      <c r="E3" s="607" t="s">
        <v>6</v>
      </c>
      <c r="F3" s="607"/>
      <c r="G3" s="607"/>
      <c r="H3" s="607"/>
    </row>
    <row r="4" spans="1:8" s="343" customFormat="1" ht="20.25" customHeight="1">
      <c r="A4" s="606"/>
      <c r="B4" s="606"/>
      <c r="C4" s="607"/>
      <c r="D4" s="607"/>
      <c r="E4" s="607" t="s">
        <v>261</v>
      </c>
      <c r="F4" s="607" t="s">
        <v>9</v>
      </c>
      <c r="G4" s="607"/>
      <c r="H4" s="607" t="s">
        <v>262</v>
      </c>
    </row>
    <row r="5" spans="1:8" s="343" customFormat="1" ht="65.25" customHeight="1">
      <c r="A5" s="606"/>
      <c r="B5" s="606"/>
      <c r="C5" s="607"/>
      <c r="D5" s="607"/>
      <c r="E5" s="607"/>
      <c r="F5" s="351" t="s">
        <v>263</v>
      </c>
      <c r="G5" s="351" t="s">
        <v>264</v>
      </c>
      <c r="H5" s="607"/>
    </row>
    <row r="6" spans="1:8" ht="9" customHeight="1">
      <c r="A6" s="344">
        <v>1</v>
      </c>
      <c r="B6" s="344">
        <v>2</v>
      </c>
      <c r="C6" s="344">
        <v>4</v>
      </c>
      <c r="D6" s="344">
        <v>5</v>
      </c>
      <c r="E6" s="344">
        <v>6</v>
      </c>
      <c r="F6" s="344">
        <v>7</v>
      </c>
      <c r="G6" s="344">
        <v>8</v>
      </c>
      <c r="H6" s="344">
        <v>9</v>
      </c>
    </row>
    <row r="7" spans="1:8" ht="22.5" customHeight="1" hidden="1">
      <c r="A7" s="603" t="s">
        <v>291</v>
      </c>
      <c r="B7" s="603"/>
      <c r="C7" s="603"/>
      <c r="D7" s="603"/>
      <c r="E7" s="603"/>
      <c r="F7" s="603"/>
      <c r="G7" s="603"/>
      <c r="H7" s="603"/>
    </row>
    <row r="8" spans="1:8" ht="26.25" customHeight="1">
      <c r="A8" s="345">
        <v>852</v>
      </c>
      <c r="B8" s="345">
        <v>85295</v>
      </c>
      <c r="C8" s="346">
        <v>112000</v>
      </c>
      <c r="D8" s="347">
        <f>E8</f>
        <v>182400</v>
      </c>
      <c r="E8" s="346">
        <f>G8+7900</f>
        <v>182400</v>
      </c>
      <c r="F8" s="346"/>
      <c r="G8" s="346">
        <v>174500</v>
      </c>
      <c r="H8" s="346"/>
    </row>
    <row r="9" spans="1:8" ht="27.75" customHeight="1">
      <c r="A9" s="604" t="s">
        <v>266</v>
      </c>
      <c r="B9" s="604"/>
      <c r="C9" s="348">
        <f aca="true" t="shared" si="0" ref="C9:H9">SUM(C8:C8)</f>
        <v>112000</v>
      </c>
      <c r="D9" s="348">
        <f t="shared" si="0"/>
        <v>182400</v>
      </c>
      <c r="E9" s="348">
        <f t="shared" si="0"/>
        <v>182400</v>
      </c>
      <c r="F9" s="348">
        <f t="shared" si="0"/>
        <v>0</v>
      </c>
      <c r="G9" s="348">
        <f t="shared" si="0"/>
        <v>174500</v>
      </c>
      <c r="H9" s="348">
        <f t="shared" si="0"/>
        <v>0</v>
      </c>
    </row>
    <row r="11" ht="12.75">
      <c r="A11" s="349"/>
    </row>
    <row r="12" ht="12.75">
      <c r="B12" s="350"/>
    </row>
  </sheetData>
  <mergeCells count="11">
    <mergeCell ref="H4:H5"/>
    <mergeCell ref="A7:H7"/>
    <mergeCell ref="A9:B9"/>
    <mergeCell ref="A1:H1"/>
    <mergeCell ref="A3:A5"/>
    <mergeCell ref="B3:B5"/>
    <mergeCell ref="C3:C5"/>
    <mergeCell ref="D3:D5"/>
    <mergeCell ref="E3:H3"/>
    <mergeCell ref="E4:E5"/>
    <mergeCell ref="F4:G4"/>
  </mergeCells>
  <printOptions horizontalCentered="1"/>
  <pageMargins left="0.5511811023622047" right="0.5511811023622047" top="1.3779527559055118" bottom="0.3937007874015748" header="0.5118110236220472" footer="0.5118110236220472"/>
  <pageSetup horizontalDpi="600" verticalDpi="600" orientation="portrait" paperSize="9" scale="90" r:id="rId1"/>
  <headerFooter alignWithMargins="0">
    <oddHeader>&amp;R&amp;"Arial CE,Pogrubiony"Załącznik nr &amp;A&amp;"Arial CE,Standardowy"
do Uchwały Nr XXVIII/177/2012 
Rady Gminy Miłkowice
z dnia 28 grudnia 2012 r.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>
      <selection activeCell="A2" sqref="A2"/>
    </sheetView>
  </sheetViews>
  <sheetFormatPr defaultColWidth="9.33203125" defaultRowHeight="12.75"/>
  <cols>
    <col min="1" max="1" width="6.5" style="341" customWidth="1"/>
    <col min="2" max="2" width="10.33203125" style="341" customWidth="1"/>
    <col min="3" max="3" width="27.83203125" style="341" customWidth="1"/>
    <col min="4" max="4" width="16.66015625" style="341" customWidth="1"/>
    <col min="5" max="5" width="17.33203125" style="341" customWidth="1"/>
    <col min="6" max="6" width="15.83203125" style="341" customWidth="1"/>
    <col min="7" max="7" width="18.16015625" style="340" customWidth="1"/>
    <col min="8" max="8" width="14.33203125" style="340" customWidth="1"/>
    <col min="9" max="9" width="18.5" style="340" customWidth="1"/>
    <col min="10" max="16384" width="10.66015625" style="340" customWidth="1"/>
  </cols>
  <sheetData>
    <row r="1" spans="1:9" ht="48.75" customHeight="1">
      <c r="A1" s="605" t="s">
        <v>292</v>
      </c>
      <c r="B1" s="605"/>
      <c r="C1" s="605"/>
      <c r="D1" s="605"/>
      <c r="E1" s="605"/>
      <c r="F1" s="605"/>
      <c r="G1" s="605"/>
      <c r="H1" s="605"/>
      <c r="I1" s="605"/>
    </row>
    <row r="2" ht="12.75">
      <c r="I2" s="342" t="s">
        <v>258</v>
      </c>
    </row>
    <row r="3" spans="1:9" s="343" customFormat="1" ht="20.25" customHeight="1">
      <c r="A3" s="606" t="s">
        <v>0</v>
      </c>
      <c r="B3" s="606" t="s">
        <v>1</v>
      </c>
      <c r="C3" s="611" t="s">
        <v>293</v>
      </c>
      <c r="D3" s="607" t="s">
        <v>259</v>
      </c>
      <c r="E3" s="607" t="s">
        <v>260</v>
      </c>
      <c r="F3" s="607" t="s">
        <v>6</v>
      </c>
      <c r="G3" s="607"/>
      <c r="H3" s="607"/>
      <c r="I3" s="607"/>
    </row>
    <row r="4" spans="1:9" s="343" customFormat="1" ht="20.25" customHeight="1">
      <c r="A4" s="606"/>
      <c r="B4" s="606"/>
      <c r="C4" s="612"/>
      <c r="D4" s="607"/>
      <c r="E4" s="607"/>
      <c r="F4" s="607" t="s">
        <v>261</v>
      </c>
      <c r="G4" s="607" t="s">
        <v>9</v>
      </c>
      <c r="H4" s="607"/>
      <c r="I4" s="607" t="s">
        <v>262</v>
      </c>
    </row>
    <row r="5" spans="1:9" s="343" customFormat="1" ht="65.25" customHeight="1">
      <c r="A5" s="606"/>
      <c r="B5" s="606"/>
      <c r="C5" s="613"/>
      <c r="D5" s="607"/>
      <c r="E5" s="607"/>
      <c r="F5" s="607"/>
      <c r="G5" s="351" t="s">
        <v>263</v>
      </c>
      <c r="H5" s="351" t="s">
        <v>264</v>
      </c>
      <c r="I5" s="607"/>
    </row>
    <row r="6" spans="1:9" ht="9" customHeight="1">
      <c r="A6" s="344">
        <v>1</v>
      </c>
      <c r="B6" s="344">
        <v>2</v>
      </c>
      <c r="C6" s="344">
        <v>3</v>
      </c>
      <c r="D6" s="344">
        <v>4</v>
      </c>
      <c r="E6" s="344">
        <v>5</v>
      </c>
      <c r="F6" s="344">
        <v>6</v>
      </c>
      <c r="G6" s="344">
        <v>7</v>
      </c>
      <c r="H6" s="344">
        <v>8</v>
      </c>
      <c r="I6" s="344">
        <v>9</v>
      </c>
    </row>
    <row r="7" spans="1:9" ht="19.5" customHeight="1">
      <c r="A7" s="345">
        <v>600</v>
      </c>
      <c r="B7" s="345">
        <v>60004</v>
      </c>
      <c r="C7" s="352" t="s">
        <v>294</v>
      </c>
      <c r="D7" s="355"/>
      <c r="E7" s="356">
        <v>50000</v>
      </c>
      <c r="F7" s="355">
        <v>50000</v>
      </c>
      <c r="G7" s="355"/>
      <c r="H7" s="355"/>
      <c r="I7" s="355"/>
    </row>
    <row r="8" spans="1:9" ht="19.5" customHeight="1">
      <c r="A8" s="345">
        <v>600</v>
      </c>
      <c r="B8" s="345">
        <v>60014</v>
      </c>
      <c r="C8" s="352" t="s">
        <v>295</v>
      </c>
      <c r="D8" s="355">
        <f>39375+25000</f>
        <v>64375</v>
      </c>
      <c r="E8" s="356">
        <f>F8+I8</f>
        <v>248758.41</v>
      </c>
      <c r="F8" s="355">
        <v>43758.41</v>
      </c>
      <c r="G8" s="355">
        <v>2015</v>
      </c>
      <c r="H8" s="355"/>
      <c r="I8" s="355">
        <f>100000+105000</f>
        <v>205000</v>
      </c>
    </row>
    <row r="9" spans="1:9" ht="19.5" customHeight="1" thickBot="1">
      <c r="A9" s="353">
        <v>801</v>
      </c>
      <c r="B9" s="353">
        <v>80104</v>
      </c>
      <c r="C9" s="354" t="s">
        <v>296</v>
      </c>
      <c r="D9" s="356">
        <v>19637</v>
      </c>
      <c r="E9" s="356">
        <f>F9</f>
        <v>98054.84</v>
      </c>
      <c r="F9" s="356">
        <v>98054.84</v>
      </c>
      <c r="G9" s="356"/>
      <c r="H9" s="356"/>
      <c r="I9" s="356"/>
    </row>
    <row r="10" spans="1:9" ht="19.5" customHeight="1" thickBot="1">
      <c r="A10" s="608" t="s">
        <v>266</v>
      </c>
      <c r="B10" s="609"/>
      <c r="C10" s="610"/>
      <c r="D10" s="357">
        <f aca="true" t="shared" si="0" ref="D10:I10">SUM(D7:D9)</f>
        <v>84012</v>
      </c>
      <c r="E10" s="357">
        <f t="shared" si="0"/>
        <v>396813.25</v>
      </c>
      <c r="F10" s="357">
        <f t="shared" si="0"/>
        <v>191813.25</v>
      </c>
      <c r="G10" s="357">
        <f t="shared" si="0"/>
        <v>2015</v>
      </c>
      <c r="H10" s="357">
        <f t="shared" si="0"/>
        <v>0</v>
      </c>
      <c r="I10" s="357">
        <f t="shared" si="0"/>
        <v>205000</v>
      </c>
    </row>
    <row r="12" ht="12.75">
      <c r="A12" s="349"/>
    </row>
    <row r="13" spans="2:3" ht="12.75">
      <c r="B13" s="350"/>
      <c r="C13" s="350"/>
    </row>
  </sheetData>
  <mergeCells count="11">
    <mergeCell ref="C3:C5"/>
    <mergeCell ref="A10:C10"/>
    <mergeCell ref="A1:I1"/>
    <mergeCell ref="A3:A5"/>
    <mergeCell ref="B3:B5"/>
    <mergeCell ref="D3:D5"/>
    <mergeCell ref="E3:E5"/>
    <mergeCell ref="F3:I3"/>
    <mergeCell ref="F4:F5"/>
    <mergeCell ref="G4:H4"/>
    <mergeCell ref="I4:I5"/>
  </mergeCells>
  <printOptions horizontalCentered="1"/>
  <pageMargins left="0.5511811023622047" right="0.5511811023622047" top="1.3779527559055118" bottom="0.3937007874015748" header="0.5118110236220472" footer="0.5118110236220472"/>
  <pageSetup horizontalDpi="600" verticalDpi="600" orientation="landscape" paperSize="9" scale="90" r:id="rId1"/>
  <headerFooter alignWithMargins="0">
    <oddHeader>&amp;R&amp;"Arial CE,Pogrubiony"Załącznik Nr 9&amp;"Arial CE,Standardowy"
do Uchwały Nr XXVIII/177/2012 
Rady Gminy Miłkowice
z dnia 28 grudnia 2012r.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ug</cp:lastModifiedBy>
  <cp:lastPrinted>2012-12-31T08:05:25Z</cp:lastPrinted>
  <dcterms:modified xsi:type="dcterms:W3CDTF">2012-12-31T08:08:06Z</dcterms:modified>
  <cp:category/>
  <cp:version/>
  <cp:contentType/>
  <cp:contentStatus/>
</cp:coreProperties>
</file>