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firstSheet="1" activeTab="1"/>
  </bookViews>
  <sheets>
    <sheet name="WPF_15.11." sheetId="1" r:id="rId1"/>
    <sheet name="WPF_2011" sheetId="2" r:id="rId2"/>
  </sheets>
  <definedNames>
    <definedName name="_xlnm.Print_Area" localSheetId="0">'WPF_15.11.'!$A$1:$U$44</definedName>
    <definedName name="_xlnm.Print_Area" localSheetId="1">'WPF_2011'!$A$1:$U$51</definedName>
  </definedNames>
  <calcPr fullCalcOnLoad="1"/>
</workbook>
</file>

<file path=xl/sharedStrings.xml><?xml version="1.0" encoding="utf-8"?>
<sst xmlns="http://schemas.openxmlformats.org/spreadsheetml/2006/main" count="167" uniqueCount="78">
  <si>
    <t>Lp.</t>
  </si>
  <si>
    <t>Wyszczególnienie</t>
  </si>
  <si>
    <t>pożyczek</t>
  </si>
  <si>
    <t>kredytów</t>
  </si>
  <si>
    <t>obligacji</t>
  </si>
  <si>
    <t>2.</t>
  </si>
  <si>
    <t>dochody bieżące</t>
  </si>
  <si>
    <t>6.</t>
  </si>
  <si>
    <t>DOCHODY OGÓŁEM, z tego:</t>
  </si>
  <si>
    <t>PLAN</t>
  </si>
  <si>
    <t>WYKONANIE</t>
  </si>
  <si>
    <t>PROGNOZA</t>
  </si>
  <si>
    <t>dochody majątkowe, w tym:</t>
  </si>
  <si>
    <t>- dochody ze sprzedaży majątku</t>
  </si>
  <si>
    <t>Stan zadłużenia na 31.12.2006r.</t>
  </si>
  <si>
    <t>(w tym pożyczka na prefinansowanie - 3.612.913,60zł)</t>
  </si>
  <si>
    <t>kredytów, pożyczek i obligacji na realizację projektów finansowanych z udziałem środków UE</t>
  </si>
  <si>
    <t>Relacje do dochodów (zg. z art. 169 i art.170 ustawy o finansach publicznych z dnia 30 czerwca 2005 roku):</t>
  </si>
  <si>
    <t>1a</t>
  </si>
  <si>
    <t>1b</t>
  </si>
  <si>
    <t>1c</t>
  </si>
  <si>
    <t xml:space="preserve">WIELOLETNIA PROGNOZA FINANSOWA GMINY MIŁKOWICE 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</si>
  <si>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</si>
  <si>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</si>
  <si>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</si>
  <si>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</si>
  <si>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2c</t>
  </si>
  <si>
    <t>2d</t>
  </si>
  <si>
    <t>2e</t>
  </si>
  <si>
    <t>związane z funkcjonowaniem organów JST</t>
  </si>
  <si>
    <t>z tytułu gwarancji i poręczęń, w tym:</t>
  </si>
  <si>
    <t>gwarancje i poręczenia podlegające wyłączeniu z limitów spłaty zobowiązań z art..243 ufp/169 sufp</t>
  </si>
  <si>
    <t>wydatki bieżące objęte limitem art.226 ust.4 ufp</t>
  </si>
  <si>
    <t>Różnica (1-2)</t>
  </si>
  <si>
    <t>na 3kw.2010</t>
  </si>
  <si>
    <t>Przewid. wykonanie 2010</t>
  </si>
  <si>
    <t>4a</t>
  </si>
  <si>
    <t>nadwyżka budżetowa z lat ubiegłych plus wolne środki, zgodnie z art.217 ufp, angażowane na pokrycie budżetu roku bieżącego</t>
  </si>
  <si>
    <t>Inne przychody nie związane z zaciągnięciem długu</t>
  </si>
  <si>
    <t>Środki do dyspozycji (3+4+5)</t>
  </si>
  <si>
    <t>7a</t>
  </si>
  <si>
    <t>7b</t>
  </si>
  <si>
    <t>rozchody z tytułu spłaty rat kapitałowych oraz wykupu papierów wartościowych</t>
  </si>
  <si>
    <t>wydatki bieżące na obsługę długu</t>
  </si>
  <si>
    <t>Spłata i obsługa długu, z tego:</t>
  </si>
  <si>
    <t>Inne rozchody (bez spłaty długu np. udzielane pożyczki)</t>
  </si>
  <si>
    <t>Środki do dyspozycji (6-7-8)</t>
  </si>
  <si>
    <t>Wydatki majątkowe</t>
  </si>
  <si>
    <t>10a</t>
  </si>
  <si>
    <t>wydatki majątkowe objęte limitem art.226 ust. 4 ufp</t>
  </si>
  <si>
    <t>PRZYCHODY (kredyty, pożyczki, emisje obligacji)</t>
  </si>
  <si>
    <t>Rozliczenie budżetu (9-10+11)</t>
  </si>
  <si>
    <t>13a</t>
  </si>
  <si>
    <t>13b</t>
  </si>
  <si>
    <t>Kwota długu, w tym:</t>
  </si>
  <si>
    <t>łączna kwota wyłączeń z art.243 ust.3 pkt 1 ufp oraz art.170 ust.3 sufp</t>
  </si>
  <si>
    <t>kwota wyłączeń z art.243 ust.3 pkt 1 ufp oraz art.169 ust.3 sufp przypadająca na dany rok budżetowy</t>
  </si>
  <si>
    <t>Planowana łączna kwota spłaty zobowiązań</t>
  </si>
  <si>
    <t>15a</t>
  </si>
  <si>
    <t>maksymalny dopuszczalny wskaźnik spłaty z art.243 ufp</t>
  </si>
  <si>
    <t>spełnienie wskaźnika spłaty z art.243 ufp po uwzględnieniu art.244 ufp</t>
  </si>
  <si>
    <t>TAK</t>
  </si>
  <si>
    <t>Kwota zobowiązań związku współtworzonego przez jst przypadająctch do spłaty w danym roku budżetowym podlegająca doliczeniu zgodnie z art.244 ufp</t>
  </si>
  <si>
    <t>Planowana łączna kwota spłaty zobowiązań do dochodów ogółem - max 15% z art.169 sufp</t>
  </si>
  <si>
    <t>Zadłużenie/dochody ogółem [(13-13a):1] - max 60% z art.170 sufp</t>
  </si>
  <si>
    <t>Wydatki bieżące razem (2+7b)</t>
  </si>
  <si>
    <t>Wydatki ogółem (10+19)</t>
  </si>
  <si>
    <t>Wynik budżetu (1-20)</t>
  </si>
  <si>
    <t>Przychody budżetu (4+5+11)</t>
  </si>
  <si>
    <t>Rozchody budżetu (7a+8)</t>
  </si>
  <si>
    <t>Nadwyżka budżetowa z lat ubiegłych plus wolne środki, zgodnie z art.217 ufp, w tym:</t>
  </si>
  <si>
    <t>NIE</t>
  </si>
  <si>
    <t>15b</t>
  </si>
  <si>
    <t>15c</t>
  </si>
  <si>
    <t>Planowana łączna kwota spłaty zobowiązań po uwzględnieniu art.244 ufp</t>
  </si>
  <si>
    <t>Relacja (Db-Wb+Dsm)/Do, o której mowa w art.243 w danym roku</t>
  </si>
  <si>
    <t>Spełnienie wskaźnika spłaty z art.243 ufp po uwzględnieniu art.244 ufp</t>
  </si>
  <si>
    <t>Kwota zobowiązań związku współtworzonego przez jst przypadających do spłaty w danym roku budżetowym podlegająca doliczeniu zgodnie z art.244 ufp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</si>
</sst>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#,##0.000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7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Alignment="1">
      <alignment horizontal="center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center" vertical="center"/>
    </xf>
    <xf numFmtId="10" fontId="13" fillId="0" borderId="4" xfId="0" applyNumberFormat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right" vertical="center" wrapText="1"/>
    </xf>
    <xf numFmtId="4" fontId="4" fillId="0" borderId="6" xfId="0" applyNumberFormat="1" applyBorder="1" applyAlignment="1">
      <alignment horizontal="center"/>
    </xf>
    <xf numFmtId="4" fontId="14" fillId="0" borderId="4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0" fontId="14" fillId="0" borderId="4" xfId="0" applyNumberFormat="1" applyFont="1" applyBorder="1" applyAlignment="1">
      <alignment horizontal="right" vertical="center" wrapText="1"/>
    </xf>
    <xf numFmtId="10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0" xfId="0" applyNumberFormat="1" applyFont="1" applyAlignment="1">
      <alignment vertical="center"/>
    </xf>
    <xf numFmtId="10" fontId="13" fillId="0" borderId="4" xfId="0" applyNumberFormat="1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right" vertical="center" wrapText="1"/>
    </xf>
    <xf numFmtId="10" fontId="11" fillId="0" borderId="3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0" borderId="2" xfId="0" applyNumberForma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A1:V49"/>
  <sheetViews>
    <sheetView showGridLines="0" zoomScale="75" zoomScaleNormal="75" workbookViewId="0" topLeftCell="A33">
      <selection activeCell="H42" sqref="H42"/>
    </sheetView>
  </sheetViews>
  <sheetFormatPr defaultColWidth="9.33203125" defaultRowHeight="12.75"/>
  <cols>
    <col min="1" max="1" width="7.33203125" style="24" customWidth="1"/>
    <col min="2" max="2" width="44.16015625" style="1" customWidth="1"/>
    <col min="3" max="3" width="17.33203125" style="1" customWidth="1"/>
    <col min="4" max="4" width="17" style="1" customWidth="1"/>
    <col min="5" max="6" width="17.33203125" style="1" customWidth="1"/>
    <col min="7" max="7" width="16.16015625" style="1" customWidth="1"/>
    <col min="8" max="8" width="15.33203125" style="1" customWidth="1"/>
    <col min="9" max="9" width="14.16015625" style="1" customWidth="1"/>
    <col min="10" max="10" width="13.83203125" style="1" customWidth="1"/>
    <col min="11" max="11" width="14.33203125" style="1" customWidth="1"/>
    <col min="12" max="13" width="13.83203125" style="1" customWidth="1"/>
    <col min="14" max="15" width="14" style="1" customWidth="1"/>
    <col min="16" max="16" width="14.5" style="1" customWidth="1"/>
    <col min="17" max="17" width="14" style="1" customWidth="1"/>
    <col min="18" max="18" width="14.5" style="1" customWidth="1"/>
    <col min="19" max="19" width="13.66015625" style="1" customWidth="1"/>
    <col min="20" max="20" width="14.66015625" style="1" customWidth="1"/>
    <col min="21" max="21" width="14" style="1" customWidth="1"/>
    <col min="22" max="22" width="21.33203125" style="1" customWidth="1"/>
    <col min="23" max="16384" width="10.66015625" style="1" customWidth="1"/>
  </cols>
  <sheetData>
    <row r="1" spans="7:13" ht="3" customHeight="1">
      <c r="G1" s="2"/>
      <c r="M1" s="2"/>
    </row>
    <row r="2" spans="1:21" ht="33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2.75" customHeight="1">
      <c r="A3" s="45" t="s">
        <v>14</v>
      </c>
      <c r="C3" s="38">
        <f>6334680.06+30.08</f>
        <v>6334710.14</v>
      </c>
      <c r="E3" s="23" t="s">
        <v>15</v>
      </c>
      <c r="H3" s="3"/>
      <c r="K3" s="4"/>
      <c r="N3" s="3"/>
      <c r="Q3" s="4"/>
      <c r="R3" s="3"/>
      <c r="T3" s="4"/>
      <c r="U3" s="3"/>
    </row>
    <row r="4" spans="1:21" s="5" customFormat="1" ht="12.75" customHeight="1">
      <c r="A4" s="66" t="s">
        <v>0</v>
      </c>
      <c r="B4" s="71" t="s">
        <v>1</v>
      </c>
      <c r="C4" s="73" t="s">
        <v>10</v>
      </c>
      <c r="D4" s="75"/>
      <c r="E4" s="21" t="s">
        <v>9</v>
      </c>
      <c r="F4" s="71" t="s">
        <v>35</v>
      </c>
      <c r="G4" s="73" t="s">
        <v>11</v>
      </c>
      <c r="H4" s="74"/>
      <c r="I4" s="75"/>
      <c r="J4" s="73" t="s">
        <v>11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5" customFormat="1" ht="29.25" customHeight="1">
      <c r="A5" s="66"/>
      <c r="B5" s="72"/>
      <c r="C5" s="20">
        <v>2008</v>
      </c>
      <c r="D5" s="20">
        <v>2009</v>
      </c>
      <c r="E5" s="20" t="s">
        <v>34</v>
      </c>
      <c r="F5" s="76"/>
      <c r="G5" s="6">
        <v>2011</v>
      </c>
      <c r="H5" s="7">
        <v>2012</v>
      </c>
      <c r="I5" s="7">
        <v>2013</v>
      </c>
      <c r="J5" s="7">
        <v>2014</v>
      </c>
      <c r="K5" s="7">
        <v>2015</v>
      </c>
      <c r="L5" s="6">
        <v>2016</v>
      </c>
      <c r="M5" s="7">
        <v>2017</v>
      </c>
      <c r="N5" s="7">
        <v>2018</v>
      </c>
      <c r="O5" s="7">
        <v>2019</v>
      </c>
      <c r="P5" s="7">
        <v>2020</v>
      </c>
      <c r="Q5" s="7">
        <v>2021</v>
      </c>
      <c r="R5" s="7">
        <v>2022</v>
      </c>
      <c r="S5" s="7">
        <v>2023</v>
      </c>
      <c r="T5" s="7">
        <v>2024</v>
      </c>
      <c r="U5" s="7">
        <v>2025</v>
      </c>
    </row>
    <row r="6" spans="1:21" s="10" customFormat="1" ht="8.25">
      <c r="A6" s="8">
        <v>1</v>
      </c>
      <c r="B6" s="8">
        <v>2</v>
      </c>
      <c r="C6" s="8">
        <v>5</v>
      </c>
      <c r="D6" s="9">
        <v>6</v>
      </c>
      <c r="E6" s="9">
        <v>7</v>
      </c>
      <c r="F6" s="9">
        <v>7</v>
      </c>
      <c r="G6" s="8">
        <v>8</v>
      </c>
      <c r="H6" s="9">
        <v>9</v>
      </c>
      <c r="I6" s="9">
        <v>10</v>
      </c>
      <c r="J6" s="8">
        <v>11</v>
      </c>
      <c r="K6" s="9">
        <v>12</v>
      </c>
      <c r="L6" s="9">
        <v>13</v>
      </c>
      <c r="M6" s="8">
        <v>14</v>
      </c>
      <c r="N6" s="9">
        <v>15</v>
      </c>
      <c r="O6" s="9">
        <v>16</v>
      </c>
      <c r="P6" s="8">
        <v>17</v>
      </c>
      <c r="Q6" s="9">
        <v>18</v>
      </c>
      <c r="R6" s="9">
        <v>19</v>
      </c>
      <c r="S6" s="8">
        <v>20</v>
      </c>
      <c r="T6" s="9">
        <v>21</v>
      </c>
      <c r="U6" s="8">
        <v>22</v>
      </c>
    </row>
    <row r="7" spans="1:21" s="5" customFormat="1" ht="30" customHeight="1">
      <c r="A7" s="46">
        <v>1</v>
      </c>
      <c r="B7" s="31" t="s">
        <v>8</v>
      </c>
      <c r="C7" s="28">
        <f aca="true" t="shared" si="0" ref="C7:U7">SUM(C8:C9)</f>
        <v>14576686.55</v>
      </c>
      <c r="D7" s="28">
        <f t="shared" si="0"/>
        <v>14204784.719999999</v>
      </c>
      <c r="E7" s="29">
        <f>SUM(E8:E9)</f>
        <v>17482492.33</v>
      </c>
      <c r="F7" s="29">
        <f t="shared" si="0"/>
        <v>15913545.06</v>
      </c>
      <c r="G7" s="17">
        <f t="shared" si="0"/>
        <v>16511647</v>
      </c>
      <c r="H7" s="17">
        <f t="shared" si="0"/>
        <v>14175923</v>
      </c>
      <c r="I7" s="17">
        <f t="shared" si="0"/>
        <v>13993674</v>
      </c>
      <c r="J7" s="34">
        <f t="shared" si="0"/>
        <v>14011461</v>
      </c>
      <c r="K7" s="17">
        <f t="shared" si="0"/>
        <v>14054284</v>
      </c>
      <c r="L7" s="17">
        <f t="shared" si="0"/>
        <v>13917163</v>
      </c>
      <c r="M7" s="17">
        <f t="shared" si="0"/>
        <v>13934998</v>
      </c>
      <c r="N7" s="17">
        <f t="shared" si="0"/>
        <v>13952868</v>
      </c>
      <c r="O7" s="17">
        <f t="shared" si="0"/>
        <v>13970773</v>
      </c>
      <c r="P7" s="17">
        <f t="shared" si="0"/>
        <v>13988176</v>
      </c>
      <c r="Q7" s="17">
        <f t="shared" si="0"/>
        <v>14006692</v>
      </c>
      <c r="R7" s="17">
        <f t="shared" si="0"/>
        <v>14024706</v>
      </c>
      <c r="S7" s="17">
        <f t="shared" si="0"/>
        <v>14042755</v>
      </c>
      <c r="T7" s="17">
        <f t="shared" si="0"/>
        <v>14060841</v>
      </c>
      <c r="U7" s="17">
        <f t="shared" si="0"/>
        <v>14078962</v>
      </c>
    </row>
    <row r="8" spans="1:21" s="18" customFormat="1" ht="16.5" customHeight="1">
      <c r="A8" s="14" t="s">
        <v>18</v>
      </c>
      <c r="B8" s="15" t="s">
        <v>6</v>
      </c>
      <c r="C8" s="25">
        <v>13152686.25</v>
      </c>
      <c r="D8" s="25">
        <v>13022938.51</v>
      </c>
      <c r="E8" s="26">
        <v>13712548.33</v>
      </c>
      <c r="F8" s="26">
        <v>13838601.06</v>
      </c>
      <c r="G8" s="12">
        <v>13653147</v>
      </c>
      <c r="H8" s="16">
        <v>13675923</v>
      </c>
      <c r="I8" s="16">
        <v>13893674</v>
      </c>
      <c r="J8" s="16">
        <v>13911461</v>
      </c>
      <c r="K8" s="16">
        <v>13954284</v>
      </c>
      <c r="L8" s="16">
        <v>13917163</v>
      </c>
      <c r="M8" s="16">
        <v>13934998</v>
      </c>
      <c r="N8" s="16">
        <v>13952868</v>
      </c>
      <c r="O8" s="16">
        <v>13970773</v>
      </c>
      <c r="P8" s="16">
        <v>13988176</v>
      </c>
      <c r="Q8" s="16">
        <v>14006692</v>
      </c>
      <c r="R8" s="16">
        <v>14024706</v>
      </c>
      <c r="S8" s="16">
        <v>14042755</v>
      </c>
      <c r="T8" s="16">
        <v>14060841</v>
      </c>
      <c r="U8" s="16">
        <v>14078962</v>
      </c>
    </row>
    <row r="9" spans="1:21" s="18" customFormat="1" ht="16.5" customHeight="1">
      <c r="A9" s="14" t="s">
        <v>19</v>
      </c>
      <c r="B9" s="15" t="s">
        <v>12</v>
      </c>
      <c r="C9" s="25">
        <v>1424000.3</v>
      </c>
      <c r="D9" s="25">
        <v>1181846.21</v>
      </c>
      <c r="E9" s="26">
        <v>3769944</v>
      </c>
      <c r="F9" s="26">
        <v>2074944</v>
      </c>
      <c r="G9" s="12">
        <v>2858500</v>
      </c>
      <c r="H9" s="12">
        <f>H10</f>
        <v>500000</v>
      </c>
      <c r="I9" s="12">
        <f>I10</f>
        <v>100000</v>
      </c>
      <c r="J9" s="16">
        <f>J10</f>
        <v>100000</v>
      </c>
      <c r="K9" s="12">
        <f>K10</f>
        <v>100000</v>
      </c>
      <c r="L9" s="12"/>
      <c r="M9" s="16"/>
      <c r="N9" s="16"/>
      <c r="O9" s="16"/>
      <c r="P9" s="16"/>
      <c r="Q9" s="16"/>
      <c r="R9" s="16"/>
      <c r="S9" s="16"/>
      <c r="T9" s="16"/>
      <c r="U9" s="16"/>
    </row>
    <row r="10" spans="1:21" s="18" customFormat="1" ht="16.5" customHeight="1">
      <c r="A10" s="14" t="s">
        <v>20</v>
      </c>
      <c r="B10" s="22" t="s">
        <v>13</v>
      </c>
      <c r="C10" s="25">
        <v>410991.3</v>
      </c>
      <c r="D10" s="25">
        <f>38932+623973.44</f>
        <v>662905.44</v>
      </c>
      <c r="E10" s="26">
        <f>1044000-24000</f>
        <v>1020000</v>
      </c>
      <c r="F10" s="26">
        <v>940000</v>
      </c>
      <c r="G10" s="12">
        <v>943500</v>
      </c>
      <c r="H10" s="16">
        <v>500000</v>
      </c>
      <c r="I10" s="16">
        <v>100000</v>
      </c>
      <c r="J10" s="16">
        <v>100000</v>
      </c>
      <c r="K10" s="16">
        <v>100000</v>
      </c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9" customFormat="1" ht="54" customHeight="1">
      <c r="A11" s="46" t="s">
        <v>5</v>
      </c>
      <c r="B11" s="31" t="s">
        <v>22</v>
      </c>
      <c r="C11" s="28">
        <v>11407802.09</v>
      </c>
      <c r="D11" s="28">
        <v>13016610.77</v>
      </c>
      <c r="E11" s="29">
        <v>13364948.33</v>
      </c>
      <c r="F11" s="29">
        <v>13983088.06</v>
      </c>
      <c r="G11" s="17">
        <v>13239609</v>
      </c>
      <c r="H11" s="17">
        <v>13317124</v>
      </c>
      <c r="I11" s="17">
        <v>13383576</v>
      </c>
      <c r="J11" s="34">
        <v>13450089</v>
      </c>
      <c r="K11" s="17">
        <v>13521876</v>
      </c>
      <c r="L11" s="17">
        <v>13575313</v>
      </c>
      <c r="M11" s="17">
        <v>13600406</v>
      </c>
      <c r="N11" s="17">
        <v>13630326</v>
      </c>
      <c r="O11" s="17">
        <v>13715375</v>
      </c>
      <c r="P11" s="17">
        <v>13772943</v>
      </c>
      <c r="Q11" s="17">
        <v>13823815</v>
      </c>
      <c r="R11" s="17">
        <v>13863493</v>
      </c>
      <c r="S11" s="17">
        <v>13903226</v>
      </c>
      <c r="T11" s="17">
        <v>13943015</v>
      </c>
      <c r="U11" s="17">
        <v>13982860</v>
      </c>
    </row>
    <row r="12" spans="1:21" s="18" customFormat="1" ht="26.25" customHeight="1">
      <c r="A12" s="14" t="s">
        <v>23</v>
      </c>
      <c r="B12" s="15" t="s">
        <v>24</v>
      </c>
      <c r="C12" s="25">
        <v>4849073.63</v>
      </c>
      <c r="D12" s="25">
        <v>5301747.92</v>
      </c>
      <c r="E12" s="26">
        <v>5560197.04</v>
      </c>
      <c r="F12" s="26">
        <v>5630197.04</v>
      </c>
      <c r="G12" s="12">
        <v>5695814</v>
      </c>
      <c r="H12" s="16">
        <v>5809730</v>
      </c>
      <c r="I12" s="16">
        <v>5925925</v>
      </c>
      <c r="J12" s="16">
        <v>6044443</v>
      </c>
      <c r="K12" s="16">
        <v>6165332</v>
      </c>
      <c r="L12" s="16">
        <v>6288639</v>
      </c>
      <c r="M12" s="16">
        <v>6414412</v>
      </c>
      <c r="N12" s="16">
        <v>6542700</v>
      </c>
      <c r="O12" s="16">
        <v>6673554</v>
      </c>
      <c r="P12" s="16">
        <v>6807025</v>
      </c>
      <c r="Q12" s="16">
        <v>6943165</v>
      </c>
      <c r="R12" s="16">
        <v>7082029</v>
      </c>
      <c r="S12" s="16">
        <v>7223669</v>
      </c>
      <c r="T12" s="16">
        <v>7368143</v>
      </c>
      <c r="U12" s="16">
        <v>7515506</v>
      </c>
    </row>
    <row r="13" spans="1:21" s="18" customFormat="1" ht="12.75">
      <c r="A13" s="14" t="s">
        <v>25</v>
      </c>
      <c r="B13" s="15" t="s">
        <v>29</v>
      </c>
      <c r="C13" s="25">
        <v>3109744.13</v>
      </c>
      <c r="D13" s="25">
        <v>3520029.23</v>
      </c>
      <c r="E13" s="26">
        <v>3823318.43</v>
      </c>
      <c r="F13" s="26">
        <v>4009709.43</v>
      </c>
      <c r="G13" s="12">
        <v>3380173</v>
      </c>
      <c r="H13" s="16">
        <v>3447776</v>
      </c>
      <c r="I13" s="16">
        <v>3516732</v>
      </c>
      <c r="J13" s="16">
        <v>3569483</v>
      </c>
      <c r="K13" s="16">
        <v>3623025</v>
      </c>
      <c r="L13" s="12">
        <v>3677370</v>
      </c>
      <c r="M13" s="16">
        <v>3732531</v>
      </c>
      <c r="N13" s="16">
        <v>3788519</v>
      </c>
      <c r="O13" s="16">
        <v>3845347</v>
      </c>
      <c r="P13" s="16">
        <v>3903027</v>
      </c>
      <c r="Q13" s="16">
        <v>3961573</v>
      </c>
      <c r="R13" s="16">
        <v>4020996</v>
      </c>
      <c r="S13" s="16">
        <v>4081311</v>
      </c>
      <c r="T13" s="16">
        <v>4124165</v>
      </c>
      <c r="U13" s="16">
        <v>4165406</v>
      </c>
    </row>
    <row r="14" spans="1:21" s="18" customFormat="1" ht="16.5" customHeight="1">
      <c r="A14" s="14" t="s">
        <v>26</v>
      </c>
      <c r="B14" s="15" t="s">
        <v>30</v>
      </c>
      <c r="C14" s="25"/>
      <c r="D14" s="25"/>
      <c r="E14" s="26"/>
      <c r="F14" s="26"/>
      <c r="G14" s="1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8" customFormat="1" ht="38.25">
      <c r="A15" s="14" t="s">
        <v>27</v>
      </c>
      <c r="B15" s="15" t="s">
        <v>31</v>
      </c>
      <c r="C15" s="25"/>
      <c r="D15" s="25"/>
      <c r="E15" s="26"/>
      <c r="F15" s="26"/>
      <c r="G15" s="12"/>
      <c r="H15" s="16"/>
      <c r="I15" s="16"/>
      <c r="J15" s="16"/>
      <c r="K15" s="16"/>
      <c r="L15" s="12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8" customFormat="1" ht="25.5">
      <c r="A16" s="14" t="s">
        <v>28</v>
      </c>
      <c r="B16" s="15" t="s">
        <v>32</v>
      </c>
      <c r="C16" s="25"/>
      <c r="D16" s="25"/>
      <c r="E16" s="26"/>
      <c r="F16" s="26"/>
      <c r="G16" s="12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42" customFormat="1" ht="27" customHeight="1">
      <c r="A17" s="46">
        <v>3</v>
      </c>
      <c r="B17" s="31" t="s">
        <v>33</v>
      </c>
      <c r="C17" s="39">
        <f aca="true" t="shared" si="1" ref="C17:U17">C7-C11</f>
        <v>3168884.460000001</v>
      </c>
      <c r="D17" s="39">
        <f t="shared" si="1"/>
        <v>1188173.9499999993</v>
      </c>
      <c r="E17" s="39">
        <f>E7-E11</f>
        <v>4117543.999999998</v>
      </c>
      <c r="F17" s="40">
        <f t="shared" si="1"/>
        <v>1930457</v>
      </c>
      <c r="G17" s="40">
        <f t="shared" si="1"/>
        <v>3272038</v>
      </c>
      <c r="H17" s="40">
        <f t="shared" si="1"/>
        <v>858799</v>
      </c>
      <c r="I17" s="40">
        <f t="shared" si="1"/>
        <v>610098</v>
      </c>
      <c r="J17" s="40">
        <f t="shared" si="1"/>
        <v>561372</v>
      </c>
      <c r="K17" s="40">
        <f t="shared" si="1"/>
        <v>532408</v>
      </c>
      <c r="L17" s="40">
        <f t="shared" si="1"/>
        <v>341850</v>
      </c>
      <c r="M17" s="40">
        <f t="shared" si="1"/>
        <v>334592</v>
      </c>
      <c r="N17" s="40">
        <f t="shared" si="1"/>
        <v>322542</v>
      </c>
      <c r="O17" s="40">
        <f t="shared" si="1"/>
        <v>255398</v>
      </c>
      <c r="P17" s="40">
        <f t="shared" si="1"/>
        <v>215233</v>
      </c>
      <c r="Q17" s="40">
        <f t="shared" si="1"/>
        <v>182877</v>
      </c>
      <c r="R17" s="40">
        <f t="shared" si="1"/>
        <v>161213</v>
      </c>
      <c r="S17" s="40">
        <f t="shared" si="1"/>
        <v>139529</v>
      </c>
      <c r="T17" s="40">
        <f t="shared" si="1"/>
        <v>117826</v>
      </c>
      <c r="U17" s="41">
        <f t="shared" si="1"/>
        <v>96102</v>
      </c>
    </row>
    <row r="18" spans="1:21" s="42" customFormat="1" ht="38.25">
      <c r="A18" s="46">
        <v>4</v>
      </c>
      <c r="B18" s="31" t="s">
        <v>70</v>
      </c>
      <c r="C18" s="40">
        <v>51461</v>
      </c>
      <c r="D18" s="40">
        <v>2165749</v>
      </c>
      <c r="E18" s="40">
        <v>352300</v>
      </c>
      <c r="F18" s="40">
        <v>352300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1" s="18" customFormat="1" ht="51">
      <c r="A19" s="14" t="s">
        <v>36</v>
      </c>
      <c r="B19" s="15" t="s">
        <v>37</v>
      </c>
      <c r="C19" s="11"/>
      <c r="D19" s="11">
        <v>1337429</v>
      </c>
      <c r="E19" s="44">
        <v>19460</v>
      </c>
      <c r="F19" s="44">
        <v>219460</v>
      </c>
      <c r="G19" s="1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2" customFormat="1" ht="27" customHeight="1">
      <c r="A20" s="46">
        <v>5</v>
      </c>
      <c r="B20" s="31" t="s">
        <v>38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f aca="true" t="shared" si="2" ref="L20:U20">L10-L14</f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40">
        <f t="shared" si="2"/>
        <v>0</v>
      </c>
      <c r="Q20" s="40">
        <f t="shared" si="2"/>
        <v>0</v>
      </c>
      <c r="R20" s="40">
        <f t="shared" si="2"/>
        <v>0</v>
      </c>
      <c r="S20" s="40">
        <f t="shared" si="2"/>
        <v>0</v>
      </c>
      <c r="T20" s="40">
        <f t="shared" si="2"/>
        <v>0</v>
      </c>
      <c r="U20" s="41">
        <f t="shared" si="2"/>
        <v>0</v>
      </c>
    </row>
    <row r="21" spans="1:21" s="42" customFormat="1" ht="24" customHeight="1">
      <c r="A21" s="46">
        <v>6</v>
      </c>
      <c r="B21" s="31" t="s">
        <v>39</v>
      </c>
      <c r="C21" s="40">
        <f>C17+C18+C20</f>
        <v>3220345.460000001</v>
      </c>
      <c r="D21" s="40">
        <f aca="true" t="shared" si="3" ref="D21:U21">D17+D18+D20</f>
        <v>3353922.9499999993</v>
      </c>
      <c r="E21" s="40">
        <f t="shared" si="3"/>
        <v>4469843.999999998</v>
      </c>
      <c r="F21" s="40">
        <f t="shared" si="3"/>
        <v>2282757</v>
      </c>
      <c r="G21" s="40">
        <f t="shared" si="3"/>
        <v>3272038</v>
      </c>
      <c r="H21" s="40">
        <f>H17+H18+H20</f>
        <v>858799</v>
      </c>
      <c r="I21" s="40">
        <f>I17+I18+I20</f>
        <v>610098</v>
      </c>
      <c r="J21" s="40">
        <f>J17+J18+J20</f>
        <v>561372</v>
      </c>
      <c r="K21" s="40">
        <f>K17+K18+K20</f>
        <v>532408</v>
      </c>
      <c r="L21" s="40">
        <f>L17+L18+L20</f>
        <v>341850</v>
      </c>
      <c r="M21" s="40">
        <f t="shared" si="3"/>
        <v>334592</v>
      </c>
      <c r="N21" s="40">
        <f t="shared" si="3"/>
        <v>322542</v>
      </c>
      <c r="O21" s="40">
        <f t="shared" si="3"/>
        <v>255398</v>
      </c>
      <c r="P21" s="40">
        <f t="shared" si="3"/>
        <v>215233</v>
      </c>
      <c r="Q21" s="40">
        <f t="shared" si="3"/>
        <v>182877</v>
      </c>
      <c r="R21" s="40">
        <f t="shared" si="3"/>
        <v>161213</v>
      </c>
      <c r="S21" s="40">
        <f t="shared" si="3"/>
        <v>139529</v>
      </c>
      <c r="T21" s="40">
        <f t="shared" si="3"/>
        <v>117826</v>
      </c>
      <c r="U21" s="41">
        <f t="shared" si="3"/>
        <v>96102</v>
      </c>
    </row>
    <row r="22" spans="1:22" s="5" customFormat="1" ht="18.75" customHeight="1">
      <c r="A22" s="46">
        <v>7</v>
      </c>
      <c r="B22" s="32" t="s">
        <v>44</v>
      </c>
      <c r="C22" s="28">
        <f>SUM(C23:C24)</f>
        <v>753703.66</v>
      </c>
      <c r="D22" s="28">
        <f aca="true" t="shared" si="4" ref="D22:U22">SUM(D23:D24)</f>
        <v>1053403.73</v>
      </c>
      <c r="E22" s="28">
        <f t="shared" si="4"/>
        <v>1655165</v>
      </c>
      <c r="F22" s="43">
        <f t="shared" si="4"/>
        <v>1617840</v>
      </c>
      <c r="G22" s="43">
        <f t="shared" si="4"/>
        <v>3061698</v>
      </c>
      <c r="H22" s="43">
        <f t="shared" si="4"/>
        <v>1129313</v>
      </c>
      <c r="I22" s="43">
        <f t="shared" si="4"/>
        <v>1140123</v>
      </c>
      <c r="J22" s="43">
        <f t="shared" si="4"/>
        <v>1100928</v>
      </c>
      <c r="K22" s="43">
        <f t="shared" si="4"/>
        <v>1081513</v>
      </c>
      <c r="L22" s="43">
        <f t="shared" si="4"/>
        <v>775671</v>
      </c>
      <c r="M22" s="43">
        <f t="shared" si="4"/>
        <v>778060</v>
      </c>
      <c r="N22" s="43">
        <f t="shared" si="4"/>
        <v>748140</v>
      </c>
      <c r="O22" s="43">
        <f t="shared" si="4"/>
        <v>718220</v>
      </c>
      <c r="P22" s="43">
        <f t="shared" si="4"/>
        <v>688300</v>
      </c>
      <c r="Q22" s="43">
        <f t="shared" si="4"/>
        <v>365130</v>
      </c>
      <c r="R22" s="43">
        <f t="shared" si="4"/>
        <v>353210</v>
      </c>
      <c r="S22" s="43">
        <f t="shared" si="4"/>
        <v>341290</v>
      </c>
      <c r="T22" s="43">
        <f t="shared" si="4"/>
        <v>329370</v>
      </c>
      <c r="U22" s="34">
        <f t="shared" si="4"/>
        <v>317450</v>
      </c>
      <c r="V22" s="35"/>
    </row>
    <row r="23" spans="1:21" s="13" customFormat="1" ht="25.5">
      <c r="A23" s="14" t="s">
        <v>40</v>
      </c>
      <c r="B23" s="15" t="s">
        <v>42</v>
      </c>
      <c r="C23" s="25">
        <v>634740</v>
      </c>
      <c r="D23" s="25">
        <v>828320</v>
      </c>
      <c r="E23" s="26">
        <v>1332840</v>
      </c>
      <c r="F23" s="44">
        <v>1332840</v>
      </c>
      <c r="G23" s="12">
        <v>2696912</v>
      </c>
      <c r="H23" s="12">
        <v>814832</v>
      </c>
      <c r="I23" s="12">
        <v>864832</v>
      </c>
      <c r="J23" s="16">
        <f>I23</f>
        <v>864832</v>
      </c>
      <c r="K23" s="16">
        <v>889832</v>
      </c>
      <c r="L23" s="12">
        <v>610000</v>
      </c>
      <c r="M23" s="12">
        <v>610000</v>
      </c>
      <c r="N23" s="12">
        <v>610000</v>
      </c>
      <c r="O23" s="12">
        <v>610000</v>
      </c>
      <c r="P23" s="12">
        <v>610000</v>
      </c>
      <c r="Q23" s="12">
        <v>310000</v>
      </c>
      <c r="R23" s="12">
        <v>310000</v>
      </c>
      <c r="S23" s="12">
        <v>310000</v>
      </c>
      <c r="T23" s="12">
        <v>310000</v>
      </c>
      <c r="U23" s="12">
        <v>310000</v>
      </c>
    </row>
    <row r="24" spans="1:21" s="13" customFormat="1" ht="18.75" customHeight="1">
      <c r="A24" s="14" t="s">
        <v>41</v>
      </c>
      <c r="B24" s="15" t="s">
        <v>43</v>
      </c>
      <c r="C24" s="25">
        <v>118963.66</v>
      </c>
      <c r="D24" s="25">
        <v>225083.73</v>
      </c>
      <c r="E24" s="26">
        <v>322325</v>
      </c>
      <c r="F24" s="44">
        <v>285000</v>
      </c>
      <c r="G24" s="12">
        <v>364786</v>
      </c>
      <c r="H24" s="16">
        <v>314481</v>
      </c>
      <c r="I24" s="16">
        <v>275291</v>
      </c>
      <c r="J24" s="16">
        <v>236096</v>
      </c>
      <c r="K24" s="16">
        <v>191681</v>
      </c>
      <c r="L24" s="12">
        <v>165671</v>
      </c>
      <c r="M24" s="12">
        <v>168060</v>
      </c>
      <c r="N24" s="12">
        <v>138140</v>
      </c>
      <c r="O24" s="12">
        <v>108220</v>
      </c>
      <c r="P24" s="12">
        <v>78300</v>
      </c>
      <c r="Q24" s="12">
        <v>55130</v>
      </c>
      <c r="R24" s="12">
        <v>43210</v>
      </c>
      <c r="S24" s="12">
        <v>31290</v>
      </c>
      <c r="T24" s="12">
        <v>19370</v>
      </c>
      <c r="U24" s="12">
        <v>7450</v>
      </c>
    </row>
    <row r="25" spans="1:22" s="5" customFormat="1" ht="25.5">
      <c r="A25" s="46">
        <v>8</v>
      </c>
      <c r="B25" s="32" t="s">
        <v>45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34">
        <v>0</v>
      </c>
      <c r="V25" s="35"/>
    </row>
    <row r="26" spans="1:21" s="42" customFormat="1" ht="27" customHeight="1">
      <c r="A26" s="46">
        <v>9</v>
      </c>
      <c r="B26" s="31" t="s">
        <v>46</v>
      </c>
      <c r="C26" s="39">
        <f>C21-C22-C25</f>
        <v>2466641.8000000007</v>
      </c>
      <c r="D26" s="39">
        <f aca="true" t="shared" si="5" ref="D26:U26">D21-D22-D25</f>
        <v>2300519.2199999993</v>
      </c>
      <c r="E26" s="39">
        <f t="shared" si="5"/>
        <v>2814678.999999998</v>
      </c>
      <c r="F26" s="40">
        <f>F21-F22-F25</f>
        <v>664917</v>
      </c>
      <c r="G26" s="40">
        <f t="shared" si="5"/>
        <v>210340</v>
      </c>
      <c r="H26" s="40">
        <f t="shared" si="5"/>
        <v>-270514</v>
      </c>
      <c r="I26" s="40">
        <f t="shared" si="5"/>
        <v>-530025</v>
      </c>
      <c r="J26" s="40">
        <f t="shared" si="5"/>
        <v>-539556</v>
      </c>
      <c r="K26" s="40">
        <f t="shared" si="5"/>
        <v>-549105</v>
      </c>
      <c r="L26" s="40">
        <f t="shared" si="5"/>
        <v>-433821</v>
      </c>
      <c r="M26" s="40">
        <f t="shared" si="5"/>
        <v>-443468</v>
      </c>
      <c r="N26" s="40">
        <f t="shared" si="5"/>
        <v>-425598</v>
      </c>
      <c r="O26" s="40">
        <f t="shared" si="5"/>
        <v>-462822</v>
      </c>
      <c r="P26" s="40">
        <f t="shared" si="5"/>
        <v>-473067</v>
      </c>
      <c r="Q26" s="40">
        <f t="shared" si="5"/>
        <v>-182253</v>
      </c>
      <c r="R26" s="40">
        <f t="shared" si="5"/>
        <v>-191997</v>
      </c>
      <c r="S26" s="40">
        <f t="shared" si="5"/>
        <v>-201761</v>
      </c>
      <c r="T26" s="40">
        <f t="shared" si="5"/>
        <v>-211544</v>
      </c>
      <c r="U26" s="41">
        <f t="shared" si="5"/>
        <v>-221348</v>
      </c>
    </row>
    <row r="27" spans="1:21" s="42" customFormat="1" ht="27" customHeight="1">
      <c r="A27" s="46">
        <v>10</v>
      </c>
      <c r="B27" s="31" t="s">
        <v>47</v>
      </c>
      <c r="C27" s="39">
        <v>2744481.58</v>
      </c>
      <c r="D27" s="39">
        <v>3373548.68</v>
      </c>
      <c r="E27" s="39">
        <v>7986279</v>
      </c>
      <c r="F27" s="40">
        <v>8301517</v>
      </c>
      <c r="G27" s="40">
        <v>210840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1">
        <v>0</v>
      </c>
    </row>
    <row r="28" spans="1:21" s="13" customFormat="1" ht="25.5">
      <c r="A28" s="14" t="s">
        <v>48</v>
      </c>
      <c r="B28" s="15" t="s">
        <v>49</v>
      </c>
      <c r="C28" s="25"/>
      <c r="D28" s="25"/>
      <c r="E28" s="26"/>
      <c r="F28" s="26"/>
      <c r="G28" s="33"/>
      <c r="H28" s="33"/>
      <c r="I28" s="33"/>
      <c r="J28" s="3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25.5">
      <c r="A29" s="46">
        <v>11</v>
      </c>
      <c r="B29" s="32" t="s">
        <v>50</v>
      </c>
      <c r="C29" s="28">
        <f aca="true" t="shared" si="6" ref="C29:U29">SUM(C30:C33)</f>
        <v>2000000</v>
      </c>
      <c r="D29" s="28">
        <f t="shared" si="6"/>
        <v>1585400</v>
      </c>
      <c r="E29" s="28">
        <f>SUM(E30:E33)</f>
        <v>5191600</v>
      </c>
      <c r="F29" s="43">
        <f t="shared" si="6"/>
        <v>7106600</v>
      </c>
      <c r="G29" s="43">
        <f t="shared" si="6"/>
        <v>0</v>
      </c>
      <c r="H29" s="43">
        <f t="shared" si="6"/>
        <v>0</v>
      </c>
      <c r="I29" s="43">
        <f t="shared" si="6"/>
        <v>0</v>
      </c>
      <c r="J29" s="43">
        <f t="shared" si="6"/>
        <v>0</v>
      </c>
      <c r="K29" s="43">
        <f t="shared" si="6"/>
        <v>0</v>
      </c>
      <c r="L29" s="43">
        <f t="shared" si="6"/>
        <v>0</v>
      </c>
      <c r="M29" s="43">
        <f t="shared" si="6"/>
        <v>0</v>
      </c>
      <c r="N29" s="43">
        <f t="shared" si="6"/>
        <v>0</v>
      </c>
      <c r="O29" s="43">
        <f t="shared" si="6"/>
        <v>0</v>
      </c>
      <c r="P29" s="43">
        <f t="shared" si="6"/>
        <v>0</v>
      </c>
      <c r="Q29" s="43">
        <f t="shared" si="6"/>
        <v>0</v>
      </c>
      <c r="R29" s="43">
        <f t="shared" si="6"/>
        <v>0</v>
      </c>
      <c r="S29" s="43">
        <f t="shared" si="6"/>
        <v>0</v>
      </c>
      <c r="T29" s="43">
        <f t="shared" si="6"/>
        <v>0</v>
      </c>
      <c r="U29" s="34">
        <f t="shared" si="6"/>
        <v>0</v>
      </c>
    </row>
    <row r="30" spans="1:21" s="13" customFormat="1" ht="18" customHeight="1">
      <c r="A30" s="14"/>
      <c r="B30" s="15" t="s">
        <v>2</v>
      </c>
      <c r="C30" s="25"/>
      <c r="D30" s="25">
        <v>85400</v>
      </c>
      <c r="E30" s="26">
        <v>91600</v>
      </c>
      <c r="F30" s="26">
        <v>91600</v>
      </c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8" customHeight="1">
      <c r="A31" s="14"/>
      <c r="B31" s="15" t="s">
        <v>3</v>
      </c>
      <c r="C31" s="25"/>
      <c r="D31" s="25">
        <v>500000</v>
      </c>
      <c r="E31" s="26">
        <f>3480000</f>
        <v>3480000</v>
      </c>
      <c r="F31" s="26">
        <f>3480000</f>
        <v>3480000</v>
      </c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8" customHeight="1">
      <c r="A32" s="14"/>
      <c r="B32" s="15" t="s">
        <v>4</v>
      </c>
      <c r="C32" s="25">
        <v>2000000</v>
      </c>
      <c r="D32" s="25">
        <v>1000000</v>
      </c>
      <c r="E32" s="26"/>
      <c r="F32" s="26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43.5" customHeight="1">
      <c r="A33" s="14"/>
      <c r="B33" s="15" t="s">
        <v>16</v>
      </c>
      <c r="C33" s="27"/>
      <c r="D33" s="27"/>
      <c r="E33" s="26">
        <f>1620000</f>
        <v>1620000</v>
      </c>
      <c r="F33" s="26">
        <f>1620000+1915000</f>
        <v>3535000</v>
      </c>
      <c r="G33" s="1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2" customFormat="1" ht="18" customHeight="1">
      <c r="A34" s="46">
        <v>12</v>
      </c>
      <c r="B34" s="31" t="s">
        <v>51</v>
      </c>
      <c r="C34" s="39">
        <f>C26-C27+C29</f>
        <v>1722160.2200000007</v>
      </c>
      <c r="D34" s="39">
        <f aca="true" t="shared" si="7" ref="D34:U34">D26-D27+D29</f>
        <v>512370.5399999991</v>
      </c>
      <c r="E34" s="39">
        <f t="shared" si="7"/>
        <v>19999.999999998137</v>
      </c>
      <c r="F34" s="39">
        <f t="shared" si="7"/>
        <v>-530000</v>
      </c>
      <c r="G34" s="39">
        <f t="shared" si="7"/>
        <v>-500</v>
      </c>
      <c r="H34" s="40">
        <f t="shared" si="7"/>
        <v>-270514</v>
      </c>
      <c r="I34" s="40">
        <f t="shared" si="7"/>
        <v>-530025</v>
      </c>
      <c r="J34" s="40">
        <f t="shared" si="7"/>
        <v>-539556</v>
      </c>
      <c r="K34" s="40">
        <f t="shared" si="7"/>
        <v>-549105</v>
      </c>
      <c r="L34" s="40">
        <f t="shared" si="7"/>
        <v>-433821</v>
      </c>
      <c r="M34" s="40">
        <f t="shared" si="7"/>
        <v>-443468</v>
      </c>
      <c r="N34" s="40">
        <f t="shared" si="7"/>
        <v>-425598</v>
      </c>
      <c r="O34" s="40">
        <f t="shared" si="7"/>
        <v>-462822</v>
      </c>
      <c r="P34" s="40">
        <f t="shared" si="7"/>
        <v>-473067</v>
      </c>
      <c r="Q34" s="40">
        <f t="shared" si="7"/>
        <v>-182253</v>
      </c>
      <c r="R34" s="40">
        <f t="shared" si="7"/>
        <v>-191997</v>
      </c>
      <c r="S34" s="40">
        <f t="shared" si="7"/>
        <v>-201761</v>
      </c>
      <c r="T34" s="40">
        <f t="shared" si="7"/>
        <v>-211544</v>
      </c>
      <c r="U34" s="41">
        <f t="shared" si="7"/>
        <v>-221348</v>
      </c>
    </row>
    <row r="35" spans="1:22" s="5" customFormat="1" ht="18.75" customHeight="1">
      <c r="A35" s="46">
        <v>13</v>
      </c>
      <c r="B35" s="32" t="s">
        <v>54</v>
      </c>
      <c r="C35" s="28">
        <v>4200400</v>
      </c>
      <c r="D35" s="28">
        <v>4957480</v>
      </c>
      <c r="E35" s="28">
        <v>8816240</v>
      </c>
      <c r="F35" s="43">
        <v>10931240</v>
      </c>
      <c r="G35" s="43">
        <v>8034328</v>
      </c>
      <c r="H35" s="43">
        <v>7219496</v>
      </c>
      <c r="I35" s="43">
        <f>H35-I23</f>
        <v>6354664</v>
      </c>
      <c r="J35" s="43">
        <f aca="true" t="shared" si="8" ref="J35:U35">I35-J23</f>
        <v>5489832</v>
      </c>
      <c r="K35" s="43">
        <f t="shared" si="8"/>
        <v>4600000</v>
      </c>
      <c r="L35" s="43">
        <f t="shared" si="8"/>
        <v>3990000</v>
      </c>
      <c r="M35" s="43">
        <f t="shared" si="8"/>
        <v>3380000</v>
      </c>
      <c r="N35" s="43">
        <f t="shared" si="8"/>
        <v>2770000</v>
      </c>
      <c r="O35" s="43">
        <f t="shared" si="8"/>
        <v>2160000</v>
      </c>
      <c r="P35" s="43">
        <f t="shared" si="8"/>
        <v>1550000</v>
      </c>
      <c r="Q35" s="43">
        <f t="shared" si="8"/>
        <v>1240000</v>
      </c>
      <c r="R35" s="43">
        <f t="shared" si="8"/>
        <v>930000</v>
      </c>
      <c r="S35" s="43">
        <f t="shared" si="8"/>
        <v>620000</v>
      </c>
      <c r="T35" s="43">
        <f t="shared" si="8"/>
        <v>310000</v>
      </c>
      <c r="U35" s="34">
        <f t="shared" si="8"/>
        <v>0</v>
      </c>
      <c r="V35" s="35"/>
    </row>
    <row r="36" spans="1:21" s="13" customFormat="1" ht="25.5">
      <c r="A36" s="14" t="s">
        <v>52</v>
      </c>
      <c r="B36" s="15" t="s">
        <v>55</v>
      </c>
      <c r="C36" s="25"/>
      <c r="D36" s="25"/>
      <c r="E36" s="26">
        <v>1620000</v>
      </c>
      <c r="F36" s="44">
        <v>3535000</v>
      </c>
      <c r="G36" s="12">
        <v>1620000</v>
      </c>
      <c r="H36" s="12"/>
      <c r="I36" s="12"/>
      <c r="J36" s="16"/>
      <c r="K36" s="16"/>
      <c r="L36" s="12"/>
      <c r="M36" s="12"/>
      <c r="N36" s="12"/>
      <c r="O36" s="12"/>
      <c r="P36" s="12"/>
      <c r="Q36" s="12"/>
      <c r="R36" s="12"/>
      <c r="S36" s="12"/>
      <c r="T36" s="12"/>
      <c r="U36" s="16"/>
    </row>
    <row r="37" spans="1:21" s="13" customFormat="1" ht="38.25">
      <c r="A37" s="14" t="s">
        <v>53</v>
      </c>
      <c r="B37" s="15" t="s">
        <v>56</v>
      </c>
      <c r="C37" s="25"/>
      <c r="D37" s="25"/>
      <c r="E37" s="26">
        <v>12730</v>
      </c>
      <c r="F37" s="44">
        <v>12730</v>
      </c>
      <c r="G37" s="12">
        <f>56700</f>
        <v>56700</v>
      </c>
      <c r="H37" s="16"/>
      <c r="I37" s="16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6"/>
    </row>
    <row r="38" spans="1:21" s="42" customFormat="1" ht="63.75">
      <c r="A38" s="46">
        <v>14</v>
      </c>
      <c r="B38" s="31" t="s">
        <v>62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9">
        <v>0</v>
      </c>
    </row>
    <row r="39" spans="1:21" s="5" customFormat="1" ht="18.75" customHeight="1" hidden="1">
      <c r="A39" s="47" t="s">
        <v>7</v>
      </c>
      <c r="B39" s="68" t="s">
        <v>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</row>
    <row r="40" spans="1:21" s="55" customFormat="1" ht="25.5">
      <c r="A40" s="46">
        <v>15</v>
      </c>
      <c r="B40" s="48" t="s">
        <v>57</v>
      </c>
      <c r="C40" s="53">
        <f aca="true" t="shared" si="9" ref="C40:U40">(C22+C25)/C7</f>
        <v>0.05170610326391357</v>
      </c>
      <c r="D40" s="53">
        <f t="shared" si="9"/>
        <v>0.07415837344700005</v>
      </c>
      <c r="E40" s="53">
        <f t="shared" si="9"/>
        <v>0.09467557421202084</v>
      </c>
      <c r="F40" s="53">
        <f t="shared" si="9"/>
        <v>0.10166433650705357</v>
      </c>
      <c r="G40" s="53">
        <f t="shared" si="9"/>
        <v>0.1854265658659006</v>
      </c>
      <c r="H40" s="53">
        <f t="shared" si="9"/>
        <v>0.07966416013969602</v>
      </c>
      <c r="I40" s="53">
        <f t="shared" si="9"/>
        <v>0.08147417182935661</v>
      </c>
      <c r="J40" s="53">
        <f t="shared" si="9"/>
        <v>0.07857339074062299</v>
      </c>
      <c r="K40" s="53">
        <f t="shared" si="9"/>
        <v>0.07695255055326902</v>
      </c>
      <c r="L40" s="53">
        <f t="shared" si="9"/>
        <v>0.055734850558263924</v>
      </c>
      <c r="M40" s="53">
        <f t="shared" si="9"/>
        <v>0.05583495598635895</v>
      </c>
      <c r="N40" s="53">
        <f t="shared" si="9"/>
        <v>0.05361908390447039</v>
      </c>
      <c r="O40" s="53">
        <f t="shared" si="9"/>
        <v>0.05140875168467772</v>
      </c>
      <c r="P40" s="53">
        <f t="shared" si="9"/>
        <v>0.04920584356387852</v>
      </c>
      <c r="Q40" s="53">
        <f t="shared" si="9"/>
        <v>0.026068253660464585</v>
      </c>
      <c r="R40" s="53">
        <f t="shared" si="9"/>
        <v>0.025184841664417066</v>
      </c>
      <c r="S40" s="53">
        <f t="shared" si="9"/>
        <v>0.024303635575782672</v>
      </c>
      <c r="T40" s="53">
        <f t="shared" si="9"/>
        <v>0.02342463014836737</v>
      </c>
      <c r="U40" s="54">
        <f t="shared" si="9"/>
        <v>0.022547827034407792</v>
      </c>
    </row>
    <row r="41" spans="1:21" s="60" customFormat="1" ht="25.5">
      <c r="A41" s="56" t="s">
        <v>58</v>
      </c>
      <c r="B41" s="57" t="s">
        <v>59</v>
      </c>
      <c r="C41" s="58">
        <v>0</v>
      </c>
      <c r="D41" s="58">
        <v>0</v>
      </c>
      <c r="E41" s="58">
        <v>0</v>
      </c>
      <c r="F41" s="58">
        <v>0</v>
      </c>
      <c r="G41" s="58">
        <f>((C8+C10-C11)/C7+(D8+D10-D11)/D7+(F8+F10-F11)/F7)/3</f>
        <v>0.08166725669175791</v>
      </c>
      <c r="H41" s="58">
        <f>((D8+D10-D11)/D7+(F8+F10-F11)/F7+(G8+G10-G11)/G7)/3</f>
        <v>0.059763204704633095</v>
      </c>
      <c r="I41" s="58">
        <f>((F8+F10-F11)/F7+(G8+G10-G11)/G7+(H8+H10-H11)/H7)/3</f>
        <v>0.06425263815292517</v>
      </c>
      <c r="J41" s="58">
        <f>((G8+G10-G11)/G7+(H8+H10-H11)/H7+(I8+I10-I11)/I7)/3</f>
        <v>0.06212212158018974</v>
      </c>
      <c r="K41" s="58">
        <f aca="true" t="shared" si="10" ref="K41:U41">((H8+H10-H11)/H7+(I8+I10-I11)/I7+(J8+J10-J11)/J7)/3</f>
        <v>0.048081617411647536</v>
      </c>
      <c r="L41" s="58">
        <f t="shared" si="10"/>
        <v>0.040515195572607104</v>
      </c>
      <c r="M41" s="58">
        <f t="shared" si="10"/>
        <v>0.034170217946174634</v>
      </c>
      <c r="N41" s="58">
        <f t="shared" si="10"/>
        <v>0.028818788053782834</v>
      </c>
      <c r="O41" s="58">
        <f t="shared" si="10"/>
        <v>0.023896881603849052</v>
      </c>
      <c r="P41" s="58">
        <f t="shared" si="10"/>
        <v>0.021802775741374517</v>
      </c>
      <c r="Q41" s="58">
        <f t="shared" si="10"/>
        <v>0.018928065647232387</v>
      </c>
      <c r="R41" s="58">
        <f t="shared" si="10"/>
        <v>0.015574687025821455</v>
      </c>
      <c r="S41" s="58">
        <f t="shared" si="10"/>
        <v>0.013312703955716229</v>
      </c>
      <c r="T41" s="58">
        <f t="shared" si="10"/>
        <v>0.011495781395115595</v>
      </c>
      <c r="U41" s="59">
        <f t="shared" si="10"/>
        <v>0.009936889550113279</v>
      </c>
    </row>
    <row r="42" spans="1:21" s="52" customFormat="1" ht="25.5">
      <c r="A42" s="50">
        <v>16</v>
      </c>
      <c r="B42" s="51" t="s">
        <v>60</v>
      </c>
      <c r="C42" s="61" t="s">
        <v>61</v>
      </c>
      <c r="D42" s="61" t="s">
        <v>61</v>
      </c>
      <c r="E42" s="61" t="s">
        <v>61</v>
      </c>
      <c r="F42" s="61" t="s">
        <v>61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</row>
    <row r="43" spans="1:21" s="55" customFormat="1" ht="38.25">
      <c r="A43" s="46">
        <v>17</v>
      </c>
      <c r="B43" s="48" t="s">
        <v>63</v>
      </c>
      <c r="C43" s="53">
        <f>(C22+C25-C37)/C7</f>
        <v>0.05170610326391357</v>
      </c>
      <c r="D43" s="53">
        <f aca="true" t="shared" si="11" ref="D43:U43">(D22+D25-D37)/D7</f>
        <v>0.07415837344700005</v>
      </c>
      <c r="E43" s="53">
        <f t="shared" si="11"/>
        <v>0.09394741716440382</v>
      </c>
      <c r="F43" s="53">
        <f t="shared" si="11"/>
        <v>0.10086438904393312</v>
      </c>
      <c r="G43" s="53">
        <f t="shared" si="11"/>
        <v>0.1819926261747238</v>
      </c>
      <c r="H43" s="53">
        <f t="shared" si="11"/>
        <v>0.07966416013969602</v>
      </c>
      <c r="I43" s="53">
        <f t="shared" si="11"/>
        <v>0.08147417182935661</v>
      </c>
      <c r="J43" s="53">
        <f t="shared" si="11"/>
        <v>0.07857339074062299</v>
      </c>
      <c r="K43" s="53">
        <f t="shared" si="11"/>
        <v>0.07695255055326902</v>
      </c>
      <c r="L43" s="53">
        <f t="shared" si="11"/>
        <v>0.055734850558263924</v>
      </c>
      <c r="M43" s="53">
        <f t="shared" si="11"/>
        <v>0.05583495598635895</v>
      </c>
      <c r="N43" s="53">
        <f t="shared" si="11"/>
        <v>0.05361908390447039</v>
      </c>
      <c r="O43" s="53">
        <f t="shared" si="11"/>
        <v>0.05140875168467772</v>
      </c>
      <c r="P43" s="53">
        <f t="shared" si="11"/>
        <v>0.04920584356387852</v>
      </c>
      <c r="Q43" s="53">
        <f t="shared" si="11"/>
        <v>0.026068253660464585</v>
      </c>
      <c r="R43" s="53">
        <f t="shared" si="11"/>
        <v>0.025184841664417066</v>
      </c>
      <c r="S43" s="53">
        <f t="shared" si="11"/>
        <v>0.024303635575782672</v>
      </c>
      <c r="T43" s="53">
        <f t="shared" si="11"/>
        <v>0.02342463014836737</v>
      </c>
      <c r="U43" s="54">
        <f t="shared" si="11"/>
        <v>0.022547827034407792</v>
      </c>
    </row>
    <row r="44" spans="1:21" s="52" customFormat="1" ht="27" customHeight="1">
      <c r="A44" s="50">
        <v>18</v>
      </c>
      <c r="B44" s="51" t="s">
        <v>64</v>
      </c>
      <c r="C44" s="36">
        <f>(C35-C36)/C7</f>
        <v>0.2881587654088645</v>
      </c>
      <c r="D44" s="36">
        <f aca="true" t="shared" si="12" ref="D44:U44">(D35-D36)/D7</f>
        <v>0.3490007133314725</v>
      </c>
      <c r="E44" s="36">
        <f t="shared" si="12"/>
        <v>0.41162552021551496</v>
      </c>
      <c r="F44" s="36">
        <f t="shared" si="12"/>
        <v>0.4647763884234101</v>
      </c>
      <c r="G44" s="36">
        <f t="shared" si="12"/>
        <v>0.3884729367094633</v>
      </c>
      <c r="H44" s="36">
        <f t="shared" si="12"/>
        <v>0.5092787256251321</v>
      </c>
      <c r="I44" s="36">
        <f t="shared" si="12"/>
        <v>0.45410976416915244</v>
      </c>
      <c r="J44" s="36">
        <f t="shared" si="12"/>
        <v>0.3918101045993705</v>
      </c>
      <c r="K44" s="36">
        <f t="shared" si="12"/>
        <v>0.3273023371379147</v>
      </c>
      <c r="L44" s="36">
        <f t="shared" si="12"/>
        <v>0.2866963618950213</v>
      </c>
      <c r="M44" s="36">
        <f t="shared" si="12"/>
        <v>0.24255475314743496</v>
      </c>
      <c r="N44" s="36">
        <f t="shared" si="12"/>
        <v>0.19852549311009035</v>
      </c>
      <c r="O44" s="36">
        <f t="shared" si="12"/>
        <v>0.15460848157793416</v>
      </c>
      <c r="P44" s="36">
        <f t="shared" si="12"/>
        <v>0.1108078708760885</v>
      </c>
      <c r="Q44" s="36">
        <f t="shared" si="12"/>
        <v>0.08852911165605698</v>
      </c>
      <c r="R44" s="36">
        <f t="shared" si="12"/>
        <v>0.06631155048811718</v>
      </c>
      <c r="S44" s="36">
        <f t="shared" si="12"/>
        <v>0.044150880649843995</v>
      </c>
      <c r="T44" s="36">
        <f t="shared" si="12"/>
        <v>0.022047045407881362</v>
      </c>
      <c r="U44" s="37">
        <f t="shared" si="12"/>
        <v>0</v>
      </c>
    </row>
    <row r="45" spans="1:21" s="42" customFormat="1" ht="24" customHeight="1">
      <c r="A45" s="46">
        <v>19</v>
      </c>
      <c r="B45" s="31" t="s">
        <v>65</v>
      </c>
      <c r="C45" s="39">
        <f>C11+C24</f>
        <v>11526765.75</v>
      </c>
      <c r="D45" s="39">
        <f aca="true" t="shared" si="13" ref="D45:U45">D11+D24</f>
        <v>13241694.5</v>
      </c>
      <c r="E45" s="39">
        <f t="shared" si="13"/>
        <v>13687273.33</v>
      </c>
      <c r="F45" s="39">
        <f t="shared" si="13"/>
        <v>14268088.06</v>
      </c>
      <c r="G45" s="40">
        <f t="shared" si="13"/>
        <v>13604395</v>
      </c>
      <c r="H45" s="40">
        <f t="shared" si="13"/>
        <v>13631605</v>
      </c>
      <c r="I45" s="40">
        <f t="shared" si="13"/>
        <v>13658867</v>
      </c>
      <c r="J45" s="40">
        <f t="shared" si="13"/>
        <v>13686185</v>
      </c>
      <c r="K45" s="40">
        <f t="shared" si="13"/>
        <v>13713557</v>
      </c>
      <c r="L45" s="40">
        <f t="shared" si="13"/>
        <v>13740984</v>
      </c>
      <c r="M45" s="40">
        <f t="shared" si="13"/>
        <v>13768466</v>
      </c>
      <c r="N45" s="40">
        <f t="shared" si="13"/>
        <v>13768466</v>
      </c>
      <c r="O45" s="40">
        <f t="shared" si="13"/>
        <v>13823595</v>
      </c>
      <c r="P45" s="40">
        <f t="shared" si="13"/>
        <v>13851243</v>
      </c>
      <c r="Q45" s="40">
        <f t="shared" si="13"/>
        <v>13878945</v>
      </c>
      <c r="R45" s="40">
        <f t="shared" si="13"/>
        <v>13906703</v>
      </c>
      <c r="S45" s="40">
        <f t="shared" si="13"/>
        <v>13934516</v>
      </c>
      <c r="T45" s="40">
        <f t="shared" si="13"/>
        <v>13962385</v>
      </c>
      <c r="U45" s="41">
        <f t="shared" si="13"/>
        <v>13990310</v>
      </c>
    </row>
    <row r="46" spans="1:21" s="42" customFormat="1" ht="24" customHeight="1">
      <c r="A46" s="46">
        <v>20</v>
      </c>
      <c r="B46" s="31" t="s">
        <v>66</v>
      </c>
      <c r="C46" s="39">
        <f>C45+C27</f>
        <v>14271247.33</v>
      </c>
      <c r="D46" s="39">
        <f aca="true" t="shared" si="14" ref="D46:U46">D45+D27</f>
        <v>16615243.18</v>
      </c>
      <c r="E46" s="39">
        <f t="shared" si="14"/>
        <v>21673552.33</v>
      </c>
      <c r="F46" s="39">
        <f t="shared" si="14"/>
        <v>22569605.060000002</v>
      </c>
      <c r="G46" s="40">
        <f t="shared" si="14"/>
        <v>13815235</v>
      </c>
      <c r="H46" s="40">
        <f t="shared" si="14"/>
        <v>13631605</v>
      </c>
      <c r="I46" s="40">
        <f t="shared" si="14"/>
        <v>13658867</v>
      </c>
      <c r="J46" s="40">
        <f t="shared" si="14"/>
        <v>13686185</v>
      </c>
      <c r="K46" s="40">
        <f t="shared" si="14"/>
        <v>13713557</v>
      </c>
      <c r="L46" s="40">
        <f t="shared" si="14"/>
        <v>13740984</v>
      </c>
      <c r="M46" s="40">
        <f t="shared" si="14"/>
        <v>13768466</v>
      </c>
      <c r="N46" s="40">
        <f t="shared" si="14"/>
        <v>13768466</v>
      </c>
      <c r="O46" s="40">
        <f t="shared" si="14"/>
        <v>13823595</v>
      </c>
      <c r="P46" s="40">
        <f t="shared" si="14"/>
        <v>13851243</v>
      </c>
      <c r="Q46" s="40">
        <f t="shared" si="14"/>
        <v>13878945</v>
      </c>
      <c r="R46" s="40">
        <f t="shared" si="14"/>
        <v>13906703</v>
      </c>
      <c r="S46" s="40">
        <f t="shared" si="14"/>
        <v>13934516</v>
      </c>
      <c r="T46" s="40">
        <f t="shared" si="14"/>
        <v>13962385</v>
      </c>
      <c r="U46" s="41">
        <f t="shared" si="14"/>
        <v>13990310</v>
      </c>
    </row>
    <row r="47" spans="1:21" s="42" customFormat="1" ht="24" customHeight="1">
      <c r="A47" s="46">
        <v>21</v>
      </c>
      <c r="B47" s="31" t="s">
        <v>67</v>
      </c>
      <c r="C47" s="39">
        <f>C7-C46</f>
        <v>305439.22000000067</v>
      </c>
      <c r="D47" s="39">
        <f aca="true" t="shared" si="15" ref="D47:U47">D7-D46</f>
        <v>-2410458.460000001</v>
      </c>
      <c r="E47" s="39">
        <f t="shared" si="15"/>
        <v>-4191060</v>
      </c>
      <c r="F47" s="39">
        <f t="shared" si="15"/>
        <v>-6656060.000000002</v>
      </c>
      <c r="G47" s="40">
        <f t="shared" si="15"/>
        <v>2696412</v>
      </c>
      <c r="H47" s="40">
        <f t="shared" si="15"/>
        <v>544318</v>
      </c>
      <c r="I47" s="40">
        <f t="shared" si="15"/>
        <v>334807</v>
      </c>
      <c r="J47" s="40">
        <f t="shared" si="15"/>
        <v>325276</v>
      </c>
      <c r="K47" s="40">
        <f t="shared" si="15"/>
        <v>340727</v>
      </c>
      <c r="L47" s="40">
        <f t="shared" si="15"/>
        <v>176179</v>
      </c>
      <c r="M47" s="40">
        <f t="shared" si="15"/>
        <v>166532</v>
      </c>
      <c r="N47" s="40">
        <f t="shared" si="15"/>
        <v>184402</v>
      </c>
      <c r="O47" s="40">
        <f t="shared" si="15"/>
        <v>147178</v>
      </c>
      <c r="P47" s="40">
        <f t="shared" si="15"/>
        <v>136933</v>
      </c>
      <c r="Q47" s="40">
        <f t="shared" si="15"/>
        <v>127747</v>
      </c>
      <c r="R47" s="40">
        <f t="shared" si="15"/>
        <v>118003</v>
      </c>
      <c r="S47" s="40">
        <f t="shared" si="15"/>
        <v>108239</v>
      </c>
      <c r="T47" s="40">
        <f t="shared" si="15"/>
        <v>98456</v>
      </c>
      <c r="U47" s="41">
        <f t="shared" si="15"/>
        <v>88652</v>
      </c>
    </row>
    <row r="48" spans="1:21" s="42" customFormat="1" ht="24" customHeight="1">
      <c r="A48" s="46">
        <v>22</v>
      </c>
      <c r="B48" s="31" t="s">
        <v>68</v>
      </c>
      <c r="C48" s="39">
        <f>C18+C20+C29</f>
        <v>2051461</v>
      </c>
      <c r="D48" s="39">
        <f aca="true" t="shared" si="16" ref="D48:U48">D18+D20+D29</f>
        <v>3751149</v>
      </c>
      <c r="E48" s="39">
        <f t="shared" si="16"/>
        <v>5543900</v>
      </c>
      <c r="F48" s="39">
        <f t="shared" si="16"/>
        <v>7458900</v>
      </c>
      <c r="G48" s="40">
        <f t="shared" si="16"/>
        <v>0</v>
      </c>
      <c r="H48" s="40">
        <f t="shared" si="16"/>
        <v>0</v>
      </c>
      <c r="I48" s="40">
        <f t="shared" si="16"/>
        <v>0</v>
      </c>
      <c r="J48" s="40">
        <f t="shared" si="16"/>
        <v>0</v>
      </c>
      <c r="K48" s="40">
        <f t="shared" si="16"/>
        <v>0</v>
      </c>
      <c r="L48" s="40">
        <f t="shared" si="16"/>
        <v>0</v>
      </c>
      <c r="M48" s="40">
        <f t="shared" si="16"/>
        <v>0</v>
      </c>
      <c r="N48" s="40">
        <f t="shared" si="16"/>
        <v>0</v>
      </c>
      <c r="O48" s="40">
        <f t="shared" si="16"/>
        <v>0</v>
      </c>
      <c r="P48" s="40">
        <f t="shared" si="16"/>
        <v>0</v>
      </c>
      <c r="Q48" s="40">
        <f t="shared" si="16"/>
        <v>0</v>
      </c>
      <c r="R48" s="40">
        <f t="shared" si="16"/>
        <v>0</v>
      </c>
      <c r="S48" s="40">
        <f t="shared" si="16"/>
        <v>0</v>
      </c>
      <c r="T48" s="40">
        <f t="shared" si="16"/>
        <v>0</v>
      </c>
      <c r="U48" s="41">
        <f t="shared" si="16"/>
        <v>0</v>
      </c>
    </row>
    <row r="49" spans="1:21" s="42" customFormat="1" ht="24" customHeight="1">
      <c r="A49" s="46">
        <v>23</v>
      </c>
      <c r="B49" s="31" t="s">
        <v>69</v>
      </c>
      <c r="C49" s="39">
        <f>C23+C25</f>
        <v>634740</v>
      </c>
      <c r="D49" s="39">
        <f aca="true" t="shared" si="17" ref="D49:U49">D23+D25</f>
        <v>828320</v>
      </c>
      <c r="E49" s="39">
        <f t="shared" si="17"/>
        <v>1332840</v>
      </c>
      <c r="F49" s="39">
        <f t="shared" si="17"/>
        <v>1332840</v>
      </c>
      <c r="G49" s="40">
        <f t="shared" si="17"/>
        <v>2696912</v>
      </c>
      <c r="H49" s="40">
        <f t="shared" si="17"/>
        <v>814832</v>
      </c>
      <c r="I49" s="40">
        <f t="shared" si="17"/>
        <v>864832</v>
      </c>
      <c r="J49" s="40">
        <f t="shared" si="17"/>
        <v>864832</v>
      </c>
      <c r="K49" s="40">
        <f t="shared" si="17"/>
        <v>889832</v>
      </c>
      <c r="L49" s="40">
        <f t="shared" si="17"/>
        <v>610000</v>
      </c>
      <c r="M49" s="40">
        <f t="shared" si="17"/>
        <v>610000</v>
      </c>
      <c r="N49" s="40">
        <f t="shared" si="17"/>
        <v>610000</v>
      </c>
      <c r="O49" s="40">
        <f t="shared" si="17"/>
        <v>610000</v>
      </c>
      <c r="P49" s="40">
        <f t="shared" si="17"/>
        <v>610000</v>
      </c>
      <c r="Q49" s="40">
        <f t="shared" si="17"/>
        <v>310000</v>
      </c>
      <c r="R49" s="40">
        <f t="shared" si="17"/>
        <v>310000</v>
      </c>
      <c r="S49" s="40">
        <f t="shared" si="17"/>
        <v>310000</v>
      </c>
      <c r="T49" s="40">
        <f t="shared" si="17"/>
        <v>310000</v>
      </c>
      <c r="U49" s="41">
        <f t="shared" si="17"/>
        <v>310000</v>
      </c>
    </row>
  </sheetData>
  <mergeCells count="8">
    <mergeCell ref="A4:A5"/>
    <mergeCell ref="A2:U2"/>
    <mergeCell ref="B39:U39"/>
    <mergeCell ref="B4:B5"/>
    <mergeCell ref="G4:I4"/>
    <mergeCell ref="J4:U4"/>
    <mergeCell ref="F4:F5"/>
    <mergeCell ref="C4:D4"/>
  </mergeCells>
  <printOptions horizontalCentered="1" verticalCentered="1"/>
  <pageMargins left="0.2" right="0.2" top="0.31496062992125984" bottom="0.1968503937007874" header="0.1968503937007874" footer="0.1574803149606299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3">
    <pageSetUpPr fitToPage="1"/>
  </sheetPr>
  <dimension ref="A1:V51"/>
  <sheetViews>
    <sheetView showGridLines="0" tabSelected="1" zoomScale="75" zoomScaleNormal="75" workbookViewId="0" topLeftCell="D1">
      <selection activeCell="A2" sqref="A2:IV2"/>
    </sheetView>
  </sheetViews>
  <sheetFormatPr defaultColWidth="9.33203125" defaultRowHeight="12.75"/>
  <cols>
    <col min="1" max="1" width="7.33203125" style="24" customWidth="1"/>
    <col min="2" max="2" width="59" style="1" customWidth="1"/>
    <col min="3" max="3" width="17.33203125" style="1" customWidth="1"/>
    <col min="4" max="4" width="17" style="1" customWidth="1"/>
    <col min="5" max="7" width="17.33203125" style="1" customWidth="1"/>
    <col min="8" max="8" width="15.33203125" style="1" customWidth="1"/>
    <col min="9" max="9" width="14.16015625" style="1" customWidth="1"/>
    <col min="10" max="10" width="13.83203125" style="1" customWidth="1"/>
    <col min="11" max="11" width="14.33203125" style="1" customWidth="1"/>
    <col min="12" max="13" width="13.83203125" style="1" customWidth="1"/>
    <col min="14" max="14" width="14" style="1" customWidth="1"/>
    <col min="15" max="15" width="14.16015625" style="1" customWidth="1"/>
    <col min="16" max="16" width="14.5" style="1" customWidth="1"/>
    <col min="17" max="17" width="14" style="1" customWidth="1"/>
    <col min="18" max="18" width="14.5" style="1" customWidth="1"/>
    <col min="19" max="19" width="13.66015625" style="1" customWidth="1"/>
    <col min="20" max="20" width="14.66015625" style="1" customWidth="1"/>
    <col min="21" max="21" width="14" style="1" customWidth="1"/>
    <col min="22" max="22" width="21.33203125" style="1" customWidth="1"/>
    <col min="23" max="16384" width="10.66015625" style="1" customWidth="1"/>
  </cols>
  <sheetData>
    <row r="1" spans="7:13" ht="3" customHeight="1">
      <c r="G1" s="2"/>
      <c r="M1" s="2"/>
    </row>
    <row r="2" spans="1:21" ht="27.75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3" customHeight="1">
      <c r="A3" s="45"/>
      <c r="C3" s="38"/>
      <c r="E3" s="23"/>
      <c r="H3" s="3"/>
      <c r="K3" s="4"/>
      <c r="N3" s="3"/>
      <c r="Q3" s="4"/>
      <c r="R3" s="3"/>
      <c r="T3" s="4"/>
      <c r="U3" s="3"/>
    </row>
    <row r="4" spans="1:21" s="5" customFormat="1" ht="12.75" customHeight="1">
      <c r="A4" s="66" t="s">
        <v>0</v>
      </c>
      <c r="B4" s="71" t="s">
        <v>1</v>
      </c>
      <c r="C4" s="73" t="s">
        <v>10</v>
      </c>
      <c r="D4" s="75"/>
      <c r="E4" s="21" t="s">
        <v>9</v>
      </c>
      <c r="F4" s="71" t="s">
        <v>35</v>
      </c>
      <c r="G4" s="73" t="s">
        <v>11</v>
      </c>
      <c r="H4" s="74"/>
      <c r="I4" s="75"/>
      <c r="J4" s="73" t="s">
        <v>11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5" customFormat="1" ht="29.25" customHeight="1">
      <c r="A5" s="66"/>
      <c r="B5" s="72"/>
      <c r="C5" s="20">
        <v>2008</v>
      </c>
      <c r="D5" s="20">
        <v>2009</v>
      </c>
      <c r="E5" s="20" t="s">
        <v>34</v>
      </c>
      <c r="F5" s="76"/>
      <c r="G5" s="6">
        <v>2011</v>
      </c>
      <c r="H5" s="7">
        <v>2012</v>
      </c>
      <c r="I5" s="7">
        <v>2013</v>
      </c>
      <c r="J5" s="7">
        <v>2014</v>
      </c>
      <c r="K5" s="7">
        <v>2015</v>
      </c>
      <c r="L5" s="6">
        <v>2016</v>
      </c>
      <c r="M5" s="7">
        <v>2017</v>
      </c>
      <c r="N5" s="7">
        <v>2018</v>
      </c>
      <c r="O5" s="7">
        <v>2019</v>
      </c>
      <c r="P5" s="7">
        <v>2020</v>
      </c>
      <c r="Q5" s="7">
        <v>2021</v>
      </c>
      <c r="R5" s="7">
        <v>2022</v>
      </c>
      <c r="S5" s="7">
        <v>2023</v>
      </c>
      <c r="T5" s="7">
        <v>2024</v>
      </c>
      <c r="U5" s="7">
        <v>2025</v>
      </c>
    </row>
    <row r="6" spans="1:21" s="10" customFormat="1" ht="8.25">
      <c r="A6" s="8">
        <v>1</v>
      </c>
      <c r="B6" s="8">
        <v>2</v>
      </c>
      <c r="C6" s="8">
        <v>5</v>
      </c>
      <c r="D6" s="9">
        <v>6</v>
      </c>
      <c r="E6" s="9">
        <v>7</v>
      </c>
      <c r="F6" s="9">
        <v>7</v>
      </c>
      <c r="G6" s="8">
        <v>8</v>
      </c>
      <c r="H6" s="9">
        <v>9</v>
      </c>
      <c r="I6" s="9">
        <v>10</v>
      </c>
      <c r="J6" s="8">
        <v>11</v>
      </c>
      <c r="K6" s="9">
        <v>12</v>
      </c>
      <c r="L6" s="9">
        <v>13</v>
      </c>
      <c r="M6" s="8">
        <v>14</v>
      </c>
      <c r="N6" s="9">
        <v>15</v>
      </c>
      <c r="O6" s="9">
        <v>16</v>
      </c>
      <c r="P6" s="8">
        <v>17</v>
      </c>
      <c r="Q6" s="9">
        <v>18</v>
      </c>
      <c r="R6" s="9">
        <v>19</v>
      </c>
      <c r="S6" s="8">
        <v>20</v>
      </c>
      <c r="T6" s="9">
        <v>21</v>
      </c>
      <c r="U6" s="8">
        <v>22</v>
      </c>
    </row>
    <row r="7" spans="1:21" s="5" customFormat="1" ht="30" customHeight="1">
      <c r="A7" s="46">
        <v>1</v>
      </c>
      <c r="B7" s="31" t="s">
        <v>8</v>
      </c>
      <c r="C7" s="28">
        <f aca="true" t="shared" si="0" ref="C7:U7">SUM(C8:C9)</f>
        <v>14576686.55</v>
      </c>
      <c r="D7" s="28">
        <f t="shared" si="0"/>
        <v>14204784.719999999</v>
      </c>
      <c r="E7" s="29">
        <f t="shared" si="0"/>
        <v>17482492.33</v>
      </c>
      <c r="F7" s="29">
        <f t="shared" si="0"/>
        <v>15069370.18</v>
      </c>
      <c r="G7" s="17">
        <f t="shared" si="0"/>
        <v>16090549</v>
      </c>
      <c r="H7" s="17">
        <f t="shared" si="0"/>
        <v>14809022</v>
      </c>
      <c r="I7" s="17">
        <f t="shared" si="0"/>
        <v>15495692</v>
      </c>
      <c r="J7" s="34">
        <f t="shared" si="0"/>
        <v>16491520</v>
      </c>
      <c r="K7" s="17">
        <f t="shared" si="0"/>
        <v>16064706</v>
      </c>
      <c r="L7" s="17">
        <f t="shared" si="0"/>
        <v>16626971</v>
      </c>
      <c r="M7" s="17">
        <f t="shared" si="0"/>
        <v>17192288</v>
      </c>
      <c r="N7" s="17">
        <f t="shared" si="0"/>
        <v>17759633</v>
      </c>
      <c r="O7" s="17">
        <f t="shared" si="0"/>
        <v>18327941</v>
      </c>
      <c r="P7" s="17">
        <f t="shared" si="0"/>
        <v>18896107</v>
      </c>
      <c r="Q7" s="17">
        <f t="shared" si="0"/>
        <v>19481887</v>
      </c>
      <c r="R7" s="17">
        <f t="shared" si="0"/>
        <v>20066343</v>
      </c>
      <c r="S7" s="17">
        <f t="shared" si="0"/>
        <v>20668334</v>
      </c>
      <c r="T7" s="17">
        <f t="shared" si="0"/>
        <v>21288384</v>
      </c>
      <c r="U7" s="17">
        <f t="shared" si="0"/>
        <v>21927035</v>
      </c>
    </row>
    <row r="8" spans="1:21" s="18" customFormat="1" ht="16.5" customHeight="1">
      <c r="A8" s="14" t="s">
        <v>18</v>
      </c>
      <c r="B8" s="15" t="s">
        <v>6</v>
      </c>
      <c r="C8" s="25">
        <v>13152686.25</v>
      </c>
      <c r="D8" s="25">
        <v>13022938.51</v>
      </c>
      <c r="E8" s="26">
        <v>13712548.33</v>
      </c>
      <c r="F8" s="26">
        <v>13828861.12</v>
      </c>
      <c r="G8" s="12">
        <v>13559862</v>
      </c>
      <c r="H8" s="16">
        <v>14309022</v>
      </c>
      <c r="I8" s="16">
        <v>14895692</v>
      </c>
      <c r="J8" s="16">
        <v>15491520</v>
      </c>
      <c r="K8" s="16">
        <v>16064706</v>
      </c>
      <c r="L8" s="16">
        <v>16626971</v>
      </c>
      <c r="M8" s="16">
        <v>17192288</v>
      </c>
      <c r="N8" s="16">
        <v>17759633</v>
      </c>
      <c r="O8" s="16">
        <v>18327941</v>
      </c>
      <c r="P8" s="16">
        <v>18896107</v>
      </c>
      <c r="Q8" s="16">
        <v>19481887</v>
      </c>
      <c r="R8" s="16">
        <v>20066343</v>
      </c>
      <c r="S8" s="16">
        <v>20668334</v>
      </c>
      <c r="T8" s="16">
        <v>21288384</v>
      </c>
      <c r="U8" s="16">
        <v>21927035</v>
      </c>
    </row>
    <row r="9" spans="1:21" s="18" customFormat="1" ht="16.5" customHeight="1">
      <c r="A9" s="14" t="s">
        <v>19</v>
      </c>
      <c r="B9" s="15" t="s">
        <v>12</v>
      </c>
      <c r="C9" s="25">
        <v>1424000.3</v>
      </c>
      <c r="D9" s="25">
        <v>1181846.21</v>
      </c>
      <c r="E9" s="26">
        <v>3769944</v>
      </c>
      <c r="F9" s="26">
        <v>1240509.06</v>
      </c>
      <c r="G9" s="12">
        <v>2530687</v>
      </c>
      <c r="H9" s="12">
        <v>500000</v>
      </c>
      <c r="I9" s="12">
        <v>600000</v>
      </c>
      <c r="J9" s="16">
        <v>1000000</v>
      </c>
      <c r="K9" s="12">
        <f>K10</f>
        <v>0</v>
      </c>
      <c r="L9" s="12"/>
      <c r="M9" s="16"/>
      <c r="N9" s="16"/>
      <c r="O9" s="16"/>
      <c r="P9" s="16"/>
      <c r="Q9" s="16"/>
      <c r="R9" s="16"/>
      <c r="S9" s="16"/>
      <c r="T9" s="16"/>
      <c r="U9" s="16"/>
    </row>
    <row r="10" spans="1:21" s="18" customFormat="1" ht="16.5" customHeight="1">
      <c r="A10" s="14" t="s">
        <v>20</v>
      </c>
      <c r="B10" s="22" t="s">
        <v>13</v>
      </c>
      <c r="C10" s="25">
        <v>410991.3</v>
      </c>
      <c r="D10" s="25">
        <f>38932+623973.44</f>
        <v>662905.44</v>
      </c>
      <c r="E10" s="26">
        <f>1044000-24000</f>
        <v>1020000</v>
      </c>
      <c r="F10" s="26">
        <v>1027133.93</v>
      </c>
      <c r="G10" s="12">
        <f>943500+5000</f>
        <v>948500</v>
      </c>
      <c r="H10" s="16">
        <v>500000</v>
      </c>
      <c r="I10" s="16">
        <v>400000</v>
      </c>
      <c r="J10" s="16">
        <v>1000000</v>
      </c>
      <c r="K10" s="16"/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9" customFormat="1" ht="42" customHeight="1">
      <c r="A11" s="46" t="s">
        <v>5</v>
      </c>
      <c r="B11" s="31" t="s">
        <v>22</v>
      </c>
      <c r="C11" s="28">
        <v>11407802.09</v>
      </c>
      <c r="D11" s="28">
        <v>13016610.77</v>
      </c>
      <c r="E11" s="29">
        <v>13364948.33</v>
      </c>
      <c r="F11" s="29">
        <v>13459824.19</v>
      </c>
      <c r="G11" s="65">
        <v>13205431.79</v>
      </c>
      <c r="H11" s="17">
        <v>13565474</v>
      </c>
      <c r="I11" s="17">
        <v>13904611</v>
      </c>
      <c r="J11" s="17">
        <v>14252226</v>
      </c>
      <c r="K11" s="17">
        <v>14808532</v>
      </c>
      <c r="L11" s="17">
        <f>15473745-100000</f>
        <v>15373745</v>
      </c>
      <c r="M11" s="17">
        <v>15948089</v>
      </c>
      <c r="N11" s="17">
        <v>16416443</v>
      </c>
      <c r="O11" s="17">
        <v>16893638</v>
      </c>
      <c r="P11" s="17">
        <v>17379885</v>
      </c>
      <c r="Q11" s="17">
        <v>17875402</v>
      </c>
      <c r="R11" s="17">
        <v>18280412</v>
      </c>
      <c r="S11" s="17">
        <v>18677861</v>
      </c>
      <c r="T11" s="17">
        <v>19084452</v>
      </c>
      <c r="U11" s="17">
        <v>19500395</v>
      </c>
    </row>
    <row r="12" spans="1:21" s="18" customFormat="1" ht="16.5" customHeight="1">
      <c r="A12" s="14" t="s">
        <v>23</v>
      </c>
      <c r="B12" s="15" t="s">
        <v>24</v>
      </c>
      <c r="C12" s="25">
        <v>4849073.63</v>
      </c>
      <c r="D12" s="25">
        <v>5301747.92</v>
      </c>
      <c r="E12" s="26">
        <v>5560197.04</v>
      </c>
      <c r="F12" s="26">
        <v>5578881.5</v>
      </c>
      <c r="G12" s="33">
        <v>5638952</v>
      </c>
      <c r="H12" s="30">
        <v>5809730</v>
      </c>
      <c r="I12" s="16">
        <v>5925925</v>
      </c>
      <c r="J12" s="16">
        <v>6044443</v>
      </c>
      <c r="K12" s="16">
        <v>6165332</v>
      </c>
      <c r="L12" s="16">
        <v>6288639</v>
      </c>
      <c r="M12" s="16">
        <v>6514412</v>
      </c>
      <c r="N12" s="16">
        <v>6792700</v>
      </c>
      <c r="O12" s="16">
        <v>6973554</v>
      </c>
      <c r="P12" s="16">
        <v>7207025</v>
      </c>
      <c r="Q12" s="16">
        <v>7343165</v>
      </c>
      <c r="R12" s="16">
        <v>7482029</v>
      </c>
      <c r="S12" s="16">
        <v>7523669</v>
      </c>
      <c r="T12" s="16">
        <v>7668143</v>
      </c>
      <c r="U12" s="16">
        <v>7715506</v>
      </c>
    </row>
    <row r="13" spans="1:21" s="18" customFormat="1" ht="15.75" customHeight="1">
      <c r="A13" s="14" t="s">
        <v>25</v>
      </c>
      <c r="B13" s="15" t="s">
        <v>29</v>
      </c>
      <c r="C13" s="25">
        <v>3109744.13</v>
      </c>
      <c r="D13" s="25">
        <v>3520029.23</v>
      </c>
      <c r="E13" s="26">
        <v>3823318.43</v>
      </c>
      <c r="F13" s="26">
        <v>3860216.79</v>
      </c>
      <c r="G13" s="33">
        <v>3415977.79</v>
      </c>
      <c r="H13" s="30">
        <v>3447776</v>
      </c>
      <c r="I13" s="16">
        <v>3516732</v>
      </c>
      <c r="J13" s="16">
        <v>3569483</v>
      </c>
      <c r="K13" s="16">
        <v>3823025</v>
      </c>
      <c r="L13" s="12">
        <v>4177370</v>
      </c>
      <c r="M13" s="16">
        <v>4232531</v>
      </c>
      <c r="N13" s="16">
        <v>4338519</v>
      </c>
      <c r="O13" s="16">
        <v>4445347</v>
      </c>
      <c r="P13" s="16">
        <v>4503027</v>
      </c>
      <c r="Q13" s="16">
        <v>4661573</v>
      </c>
      <c r="R13" s="16">
        <v>4820996</v>
      </c>
      <c r="S13" s="16">
        <v>4981311</v>
      </c>
      <c r="T13" s="16">
        <v>5124165</v>
      </c>
      <c r="U13" s="16">
        <v>5265406</v>
      </c>
    </row>
    <row r="14" spans="1:21" s="18" customFormat="1" ht="16.5" customHeight="1">
      <c r="A14" s="14" t="s">
        <v>26</v>
      </c>
      <c r="B14" s="15" t="s">
        <v>30</v>
      </c>
      <c r="C14" s="25"/>
      <c r="D14" s="25"/>
      <c r="E14" s="26"/>
      <c r="F14" s="26"/>
      <c r="G14" s="1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8" customFormat="1" ht="28.5" customHeight="1">
      <c r="A15" s="14" t="s">
        <v>27</v>
      </c>
      <c r="B15" s="15" t="s">
        <v>31</v>
      </c>
      <c r="C15" s="25"/>
      <c r="D15" s="25"/>
      <c r="E15" s="26"/>
      <c r="F15" s="26"/>
      <c r="G15" s="12"/>
      <c r="H15" s="16"/>
      <c r="I15" s="16"/>
      <c r="J15" s="16"/>
      <c r="K15" s="16"/>
      <c r="L15" s="12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8" customFormat="1" ht="19.5" customHeight="1">
      <c r="A16" s="14" t="s">
        <v>28</v>
      </c>
      <c r="B16" s="15" t="s">
        <v>32</v>
      </c>
      <c r="C16" s="25"/>
      <c r="D16" s="25"/>
      <c r="E16" s="26"/>
      <c r="F16" s="26"/>
      <c r="G16" s="12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42" customFormat="1" ht="27" customHeight="1">
      <c r="A17" s="46">
        <v>3</v>
      </c>
      <c r="B17" s="31" t="s">
        <v>33</v>
      </c>
      <c r="C17" s="39">
        <f aca="true" t="shared" si="1" ref="C17:U17">C7-C11</f>
        <v>3168884.460000001</v>
      </c>
      <c r="D17" s="39">
        <f t="shared" si="1"/>
        <v>1188173.9499999993</v>
      </c>
      <c r="E17" s="39">
        <f t="shared" si="1"/>
        <v>4117543.999999998</v>
      </c>
      <c r="F17" s="39">
        <f t="shared" si="1"/>
        <v>1609545.9900000002</v>
      </c>
      <c r="G17" s="39">
        <f t="shared" si="1"/>
        <v>2885117.210000001</v>
      </c>
      <c r="H17" s="40">
        <f t="shared" si="1"/>
        <v>1243548</v>
      </c>
      <c r="I17" s="40">
        <f t="shared" si="1"/>
        <v>1591081</v>
      </c>
      <c r="J17" s="40">
        <f t="shared" si="1"/>
        <v>2239294</v>
      </c>
      <c r="K17" s="40">
        <f t="shared" si="1"/>
        <v>1256174</v>
      </c>
      <c r="L17" s="40">
        <f t="shared" si="1"/>
        <v>1253226</v>
      </c>
      <c r="M17" s="40">
        <f t="shared" si="1"/>
        <v>1244199</v>
      </c>
      <c r="N17" s="40">
        <f t="shared" si="1"/>
        <v>1343190</v>
      </c>
      <c r="O17" s="40">
        <f t="shared" si="1"/>
        <v>1434303</v>
      </c>
      <c r="P17" s="40">
        <f t="shared" si="1"/>
        <v>1516222</v>
      </c>
      <c r="Q17" s="40">
        <f t="shared" si="1"/>
        <v>1606485</v>
      </c>
      <c r="R17" s="40">
        <f t="shared" si="1"/>
        <v>1785931</v>
      </c>
      <c r="S17" s="40">
        <f t="shared" si="1"/>
        <v>1990473</v>
      </c>
      <c r="T17" s="40">
        <f t="shared" si="1"/>
        <v>2203932</v>
      </c>
      <c r="U17" s="41">
        <f t="shared" si="1"/>
        <v>2426640</v>
      </c>
    </row>
    <row r="18" spans="1:21" s="42" customFormat="1" ht="28.5" customHeight="1">
      <c r="A18" s="46">
        <v>4</v>
      </c>
      <c r="B18" s="31" t="s">
        <v>70</v>
      </c>
      <c r="C18" s="40">
        <v>51461</v>
      </c>
      <c r="D18" s="40">
        <v>2165749</v>
      </c>
      <c r="E18" s="40">
        <v>352300</v>
      </c>
      <c r="F18" s="39">
        <v>352317.15</v>
      </c>
      <c r="G18" s="39">
        <v>754960.83</v>
      </c>
      <c r="H18" s="40"/>
      <c r="I18" s="40">
        <v>25000</v>
      </c>
      <c r="J18" s="40">
        <v>250000</v>
      </c>
      <c r="K18" s="40">
        <v>475000</v>
      </c>
      <c r="L18" s="40">
        <v>400000</v>
      </c>
      <c r="M18" s="40">
        <v>350000</v>
      </c>
      <c r="N18" s="40">
        <v>300000</v>
      </c>
      <c r="O18" s="40">
        <v>250000</v>
      </c>
      <c r="P18" s="40">
        <v>200000</v>
      </c>
      <c r="Q18" s="40">
        <v>150000</v>
      </c>
      <c r="R18" s="40">
        <v>180000</v>
      </c>
      <c r="S18" s="40">
        <v>210000</v>
      </c>
      <c r="T18" s="40">
        <v>140000</v>
      </c>
      <c r="U18" s="41">
        <v>70000</v>
      </c>
    </row>
    <row r="19" spans="1:21" s="18" customFormat="1" ht="42.75" customHeight="1">
      <c r="A19" s="14" t="s">
        <v>36</v>
      </c>
      <c r="B19" s="15" t="s">
        <v>37</v>
      </c>
      <c r="C19" s="11"/>
      <c r="D19" s="11">
        <v>1337429</v>
      </c>
      <c r="E19" s="44">
        <v>19460</v>
      </c>
      <c r="F19" s="26"/>
      <c r="G19" s="33">
        <v>59303.83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2" customFormat="1" ht="21" customHeight="1">
      <c r="A20" s="46">
        <v>5</v>
      </c>
      <c r="B20" s="31" t="s">
        <v>38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f aca="true" t="shared" si="2" ref="L20:U20">L10-L14</f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40">
        <f t="shared" si="2"/>
        <v>0</v>
      </c>
      <c r="Q20" s="40">
        <f t="shared" si="2"/>
        <v>0</v>
      </c>
      <c r="R20" s="40">
        <f t="shared" si="2"/>
        <v>0</v>
      </c>
      <c r="S20" s="40">
        <f t="shared" si="2"/>
        <v>0</v>
      </c>
      <c r="T20" s="40">
        <f t="shared" si="2"/>
        <v>0</v>
      </c>
      <c r="U20" s="41">
        <f t="shared" si="2"/>
        <v>0</v>
      </c>
    </row>
    <row r="21" spans="1:21" s="42" customFormat="1" ht="24" customHeight="1">
      <c r="A21" s="46">
        <v>6</v>
      </c>
      <c r="B21" s="31" t="s">
        <v>39</v>
      </c>
      <c r="C21" s="40">
        <f aca="true" t="shared" si="3" ref="C21:U21">C17+C18+C20</f>
        <v>3220345.460000001</v>
      </c>
      <c r="D21" s="40">
        <f t="shared" si="3"/>
        <v>3353922.9499999993</v>
      </c>
      <c r="E21" s="40">
        <f t="shared" si="3"/>
        <v>4469843.999999998</v>
      </c>
      <c r="F21" s="40">
        <f t="shared" si="3"/>
        <v>1961863.1400000001</v>
      </c>
      <c r="G21" s="39">
        <f t="shared" si="3"/>
        <v>3640078.040000001</v>
      </c>
      <c r="H21" s="40">
        <f t="shared" si="3"/>
        <v>1243548</v>
      </c>
      <c r="I21" s="40">
        <f t="shared" si="3"/>
        <v>1616081</v>
      </c>
      <c r="J21" s="40">
        <f t="shared" si="3"/>
        <v>2489294</v>
      </c>
      <c r="K21" s="40">
        <f t="shared" si="3"/>
        <v>1731174</v>
      </c>
      <c r="L21" s="40">
        <f t="shared" si="3"/>
        <v>1653226</v>
      </c>
      <c r="M21" s="40">
        <f t="shared" si="3"/>
        <v>1594199</v>
      </c>
      <c r="N21" s="40">
        <f t="shared" si="3"/>
        <v>1643190</v>
      </c>
      <c r="O21" s="40">
        <f t="shared" si="3"/>
        <v>1684303</v>
      </c>
      <c r="P21" s="40">
        <f t="shared" si="3"/>
        <v>1716222</v>
      </c>
      <c r="Q21" s="40">
        <f t="shared" si="3"/>
        <v>1756485</v>
      </c>
      <c r="R21" s="40">
        <f t="shared" si="3"/>
        <v>1965931</v>
      </c>
      <c r="S21" s="40">
        <f t="shared" si="3"/>
        <v>2200473</v>
      </c>
      <c r="T21" s="40">
        <f t="shared" si="3"/>
        <v>2343932</v>
      </c>
      <c r="U21" s="41">
        <f t="shared" si="3"/>
        <v>2496640</v>
      </c>
    </row>
    <row r="22" spans="1:22" s="5" customFormat="1" ht="18.75" customHeight="1">
      <c r="A22" s="46">
        <v>7</v>
      </c>
      <c r="B22" s="32" t="s">
        <v>44</v>
      </c>
      <c r="C22" s="28">
        <f aca="true" t="shared" si="4" ref="C22:U22">SUM(C23:C24)</f>
        <v>753703.66</v>
      </c>
      <c r="D22" s="28">
        <f t="shared" si="4"/>
        <v>1053403.73</v>
      </c>
      <c r="E22" s="28">
        <f t="shared" si="4"/>
        <v>1655165</v>
      </c>
      <c r="F22" s="43">
        <f t="shared" si="4"/>
        <v>1579393.18</v>
      </c>
      <c r="G22" s="28">
        <f t="shared" si="4"/>
        <v>2611917.04</v>
      </c>
      <c r="H22" s="43">
        <f t="shared" si="4"/>
        <v>1209963</v>
      </c>
      <c r="I22" s="43">
        <f t="shared" si="4"/>
        <v>1170772</v>
      </c>
      <c r="J22" s="43">
        <f t="shared" si="4"/>
        <v>994941</v>
      </c>
      <c r="K22" s="43">
        <f t="shared" si="4"/>
        <v>975525</v>
      </c>
      <c r="L22" s="43">
        <f t="shared" si="4"/>
        <v>765674</v>
      </c>
      <c r="M22" s="43">
        <f t="shared" si="4"/>
        <v>718060</v>
      </c>
      <c r="N22" s="43">
        <f t="shared" si="4"/>
        <v>688140</v>
      </c>
      <c r="O22" s="43">
        <f t="shared" si="4"/>
        <v>658220</v>
      </c>
      <c r="P22" s="43">
        <f t="shared" si="4"/>
        <v>628300</v>
      </c>
      <c r="Q22" s="43">
        <f t="shared" si="4"/>
        <v>325130</v>
      </c>
      <c r="R22" s="43">
        <f t="shared" si="4"/>
        <v>313210</v>
      </c>
      <c r="S22" s="43">
        <f t="shared" si="4"/>
        <v>301290</v>
      </c>
      <c r="T22" s="43">
        <f t="shared" si="4"/>
        <v>289370</v>
      </c>
      <c r="U22" s="34">
        <f t="shared" si="4"/>
        <v>277450</v>
      </c>
      <c r="V22" s="35"/>
    </row>
    <row r="23" spans="1:21" s="13" customFormat="1" ht="25.5">
      <c r="A23" s="14" t="s">
        <v>40</v>
      </c>
      <c r="B23" s="15" t="s">
        <v>42</v>
      </c>
      <c r="C23" s="25">
        <v>634740</v>
      </c>
      <c r="D23" s="25">
        <v>828320</v>
      </c>
      <c r="E23" s="26">
        <v>1332840</v>
      </c>
      <c r="F23" s="44">
        <v>1296200</v>
      </c>
      <c r="G23" s="33">
        <v>2244183</v>
      </c>
      <c r="H23" s="12">
        <v>895480</v>
      </c>
      <c r="I23" s="12">
        <v>895480</v>
      </c>
      <c r="J23" s="12">
        <v>758840</v>
      </c>
      <c r="K23" s="12">
        <v>783840</v>
      </c>
      <c r="L23" s="12">
        <v>600000</v>
      </c>
      <c r="M23" s="12">
        <v>550000</v>
      </c>
      <c r="N23" s="12">
        <v>550000</v>
      </c>
      <c r="O23" s="12">
        <v>550000</v>
      </c>
      <c r="P23" s="12">
        <v>550000</v>
      </c>
      <c r="Q23" s="12">
        <v>270000</v>
      </c>
      <c r="R23" s="12">
        <v>270000</v>
      </c>
      <c r="S23" s="12">
        <v>270000</v>
      </c>
      <c r="T23" s="12">
        <v>270000</v>
      </c>
      <c r="U23" s="12">
        <v>270000</v>
      </c>
    </row>
    <row r="24" spans="1:21" s="13" customFormat="1" ht="18.75" customHeight="1">
      <c r="A24" s="14" t="s">
        <v>41</v>
      </c>
      <c r="B24" s="15" t="s">
        <v>43</v>
      </c>
      <c r="C24" s="25">
        <v>118963.66</v>
      </c>
      <c r="D24" s="25">
        <v>225083.73</v>
      </c>
      <c r="E24" s="26">
        <v>322325</v>
      </c>
      <c r="F24" s="33">
        <v>283193.18</v>
      </c>
      <c r="G24" s="33">
        <f>364786-56700+54680+5000-32+0.04</f>
        <v>367734.04</v>
      </c>
      <c r="H24" s="16">
        <v>314483</v>
      </c>
      <c r="I24" s="16">
        <v>275292</v>
      </c>
      <c r="J24" s="16">
        <v>236101</v>
      </c>
      <c r="K24" s="16">
        <v>191685</v>
      </c>
      <c r="L24" s="12">
        <v>165674</v>
      </c>
      <c r="M24" s="12">
        <v>168060</v>
      </c>
      <c r="N24" s="12">
        <v>138140</v>
      </c>
      <c r="O24" s="12">
        <v>108220</v>
      </c>
      <c r="P24" s="12">
        <v>78300</v>
      </c>
      <c r="Q24" s="12">
        <v>55130</v>
      </c>
      <c r="R24" s="12">
        <v>43210</v>
      </c>
      <c r="S24" s="12">
        <v>31290</v>
      </c>
      <c r="T24" s="12">
        <v>19370</v>
      </c>
      <c r="U24" s="12">
        <v>7450</v>
      </c>
    </row>
    <row r="25" spans="1:22" s="5" customFormat="1" ht="25.5">
      <c r="A25" s="46">
        <v>8</v>
      </c>
      <c r="B25" s="32" t="s">
        <v>45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34">
        <v>0</v>
      </c>
      <c r="V25" s="35"/>
    </row>
    <row r="26" spans="1:21" s="42" customFormat="1" ht="27" customHeight="1">
      <c r="A26" s="46">
        <v>9</v>
      </c>
      <c r="B26" s="31" t="s">
        <v>46</v>
      </c>
      <c r="C26" s="39">
        <f aca="true" t="shared" si="5" ref="C26:U26">C21-C22-C25</f>
        <v>2466641.8000000007</v>
      </c>
      <c r="D26" s="39">
        <f t="shared" si="5"/>
        <v>2300519.2199999993</v>
      </c>
      <c r="E26" s="39">
        <f t="shared" si="5"/>
        <v>2814678.999999998</v>
      </c>
      <c r="F26" s="39">
        <f t="shared" si="5"/>
        <v>382469.9600000002</v>
      </c>
      <c r="G26" s="39">
        <f t="shared" si="5"/>
        <v>1028161.0000000009</v>
      </c>
      <c r="H26" s="40">
        <f t="shared" si="5"/>
        <v>33585</v>
      </c>
      <c r="I26" s="40">
        <f t="shared" si="5"/>
        <v>445309</v>
      </c>
      <c r="J26" s="40">
        <f t="shared" si="5"/>
        <v>1494353</v>
      </c>
      <c r="K26" s="40">
        <f t="shared" si="5"/>
        <v>755649</v>
      </c>
      <c r="L26" s="40">
        <f t="shared" si="5"/>
        <v>887552</v>
      </c>
      <c r="M26" s="40">
        <f t="shared" si="5"/>
        <v>876139</v>
      </c>
      <c r="N26" s="40">
        <f t="shared" si="5"/>
        <v>955050</v>
      </c>
      <c r="O26" s="40">
        <f t="shared" si="5"/>
        <v>1026083</v>
      </c>
      <c r="P26" s="40">
        <f t="shared" si="5"/>
        <v>1087922</v>
      </c>
      <c r="Q26" s="40">
        <f t="shared" si="5"/>
        <v>1431355</v>
      </c>
      <c r="R26" s="40">
        <f t="shared" si="5"/>
        <v>1652721</v>
      </c>
      <c r="S26" s="40">
        <f t="shared" si="5"/>
        <v>1899183</v>
      </c>
      <c r="T26" s="40">
        <f t="shared" si="5"/>
        <v>2054562</v>
      </c>
      <c r="U26" s="41">
        <f t="shared" si="5"/>
        <v>2219190</v>
      </c>
    </row>
    <row r="27" spans="1:21" s="42" customFormat="1" ht="27" customHeight="1">
      <c r="A27" s="46">
        <v>10</v>
      </c>
      <c r="B27" s="31" t="s">
        <v>47</v>
      </c>
      <c r="C27" s="39">
        <v>2744481.58</v>
      </c>
      <c r="D27" s="39">
        <v>3373548.68</v>
      </c>
      <c r="E27" s="39">
        <v>7986279</v>
      </c>
      <c r="F27" s="39">
        <v>3820071.04</v>
      </c>
      <c r="G27" s="40">
        <v>2902142</v>
      </c>
      <c r="H27" s="40">
        <v>8585</v>
      </c>
      <c r="I27" s="40">
        <v>195309</v>
      </c>
      <c r="J27" s="40">
        <v>1019353</v>
      </c>
      <c r="K27" s="40">
        <v>355649</v>
      </c>
      <c r="L27" s="40">
        <v>537552</v>
      </c>
      <c r="M27" s="40">
        <v>576139</v>
      </c>
      <c r="N27" s="40">
        <v>705050</v>
      </c>
      <c r="O27" s="40">
        <v>826083</v>
      </c>
      <c r="P27" s="40">
        <v>937922</v>
      </c>
      <c r="Q27" s="40">
        <v>1251355</v>
      </c>
      <c r="R27" s="40">
        <v>1442721</v>
      </c>
      <c r="S27" s="40">
        <v>1759183</v>
      </c>
      <c r="T27" s="40">
        <v>1984562</v>
      </c>
      <c r="U27" s="41">
        <v>2219190</v>
      </c>
    </row>
    <row r="28" spans="1:21" s="13" customFormat="1" ht="21.75" customHeight="1">
      <c r="A28" s="14" t="s">
        <v>48</v>
      </c>
      <c r="B28" s="15" t="s">
        <v>49</v>
      </c>
      <c r="C28" s="25"/>
      <c r="D28" s="25"/>
      <c r="E28" s="26"/>
      <c r="F28" s="26"/>
      <c r="G28" s="33">
        <v>1839076</v>
      </c>
      <c r="H28" s="33"/>
      <c r="I28" s="33"/>
      <c r="J28" s="3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21.75" customHeight="1">
      <c r="A29" s="46">
        <v>11</v>
      </c>
      <c r="B29" s="32" t="s">
        <v>50</v>
      </c>
      <c r="C29" s="28">
        <f aca="true" t="shared" si="6" ref="C29:U29">SUM(C30:C33)</f>
        <v>2000000</v>
      </c>
      <c r="D29" s="28">
        <f t="shared" si="6"/>
        <v>1585400</v>
      </c>
      <c r="E29" s="28">
        <f t="shared" si="6"/>
        <v>5191600</v>
      </c>
      <c r="F29" s="28">
        <f>SUM(F30:F33)</f>
        <v>4192561.91</v>
      </c>
      <c r="G29" s="28">
        <f>1573981+300000</f>
        <v>1873981</v>
      </c>
      <c r="H29" s="43">
        <f t="shared" si="6"/>
        <v>0</v>
      </c>
      <c r="I29" s="43">
        <f t="shared" si="6"/>
        <v>0</v>
      </c>
      <c r="J29" s="43">
        <f t="shared" si="6"/>
        <v>0</v>
      </c>
      <c r="K29" s="43">
        <f t="shared" si="6"/>
        <v>0</v>
      </c>
      <c r="L29" s="43">
        <f t="shared" si="6"/>
        <v>0</v>
      </c>
      <c r="M29" s="43">
        <f t="shared" si="6"/>
        <v>0</v>
      </c>
      <c r="N29" s="43">
        <f t="shared" si="6"/>
        <v>0</v>
      </c>
      <c r="O29" s="43">
        <f t="shared" si="6"/>
        <v>0</v>
      </c>
      <c r="P29" s="43">
        <f t="shared" si="6"/>
        <v>0</v>
      </c>
      <c r="Q29" s="43">
        <f t="shared" si="6"/>
        <v>0</v>
      </c>
      <c r="R29" s="43">
        <f t="shared" si="6"/>
        <v>0</v>
      </c>
      <c r="S29" s="43">
        <f t="shared" si="6"/>
        <v>0</v>
      </c>
      <c r="T29" s="43">
        <f t="shared" si="6"/>
        <v>0</v>
      </c>
      <c r="U29" s="34">
        <f t="shared" si="6"/>
        <v>0</v>
      </c>
    </row>
    <row r="30" spans="1:21" s="13" customFormat="1" ht="18" customHeight="1" hidden="1">
      <c r="A30" s="14"/>
      <c r="B30" s="15" t="s">
        <v>2</v>
      </c>
      <c r="C30" s="25"/>
      <c r="D30" s="25">
        <v>85400</v>
      </c>
      <c r="E30" s="26">
        <v>91600</v>
      </c>
      <c r="F30" s="26"/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8" customHeight="1" hidden="1">
      <c r="A31" s="14"/>
      <c r="B31" s="15" t="s">
        <v>3</v>
      </c>
      <c r="C31" s="25"/>
      <c r="D31" s="25">
        <v>500000</v>
      </c>
      <c r="E31" s="26">
        <f>3480000</f>
        <v>3480000</v>
      </c>
      <c r="F31" s="26">
        <v>2300000</v>
      </c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8" customHeight="1" hidden="1">
      <c r="A32" s="14"/>
      <c r="B32" s="15" t="s">
        <v>4</v>
      </c>
      <c r="C32" s="25">
        <v>2000000</v>
      </c>
      <c r="D32" s="25">
        <v>1000000</v>
      </c>
      <c r="E32" s="26"/>
      <c r="F32" s="26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43.5" customHeight="1" hidden="1">
      <c r="A33" s="14"/>
      <c r="B33" s="15" t="s">
        <v>16</v>
      </c>
      <c r="C33" s="27"/>
      <c r="D33" s="27"/>
      <c r="E33" s="26">
        <f>1620000</f>
        <v>1620000</v>
      </c>
      <c r="F33" s="26">
        <f>503119.91+1389442</f>
        <v>1892561.91</v>
      </c>
      <c r="G33" s="12">
        <f>153680+230558+467048</f>
        <v>851286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2" customFormat="1" ht="18" customHeight="1">
      <c r="A34" s="46">
        <v>12</v>
      </c>
      <c r="B34" s="31" t="s">
        <v>51</v>
      </c>
      <c r="C34" s="39">
        <f aca="true" t="shared" si="7" ref="C34:U34">C26-C27+C29</f>
        <v>1722160.2200000007</v>
      </c>
      <c r="D34" s="39">
        <f t="shared" si="7"/>
        <v>512370.5399999991</v>
      </c>
      <c r="E34" s="39">
        <f t="shared" si="7"/>
        <v>19999.999999998137</v>
      </c>
      <c r="F34" s="39">
        <f t="shared" si="7"/>
        <v>754960.8300000001</v>
      </c>
      <c r="G34" s="39">
        <f t="shared" si="7"/>
        <v>0</v>
      </c>
      <c r="H34" s="40">
        <f t="shared" si="7"/>
        <v>25000</v>
      </c>
      <c r="I34" s="40">
        <f t="shared" si="7"/>
        <v>250000</v>
      </c>
      <c r="J34" s="40">
        <f t="shared" si="7"/>
        <v>475000</v>
      </c>
      <c r="K34" s="40">
        <f t="shared" si="7"/>
        <v>400000</v>
      </c>
      <c r="L34" s="40">
        <f t="shared" si="7"/>
        <v>350000</v>
      </c>
      <c r="M34" s="40">
        <f t="shared" si="7"/>
        <v>300000</v>
      </c>
      <c r="N34" s="40">
        <f t="shared" si="7"/>
        <v>250000</v>
      </c>
      <c r="O34" s="40">
        <f t="shared" si="7"/>
        <v>200000</v>
      </c>
      <c r="P34" s="40">
        <f t="shared" si="7"/>
        <v>150000</v>
      </c>
      <c r="Q34" s="40">
        <f t="shared" si="7"/>
        <v>180000</v>
      </c>
      <c r="R34" s="40">
        <f t="shared" si="7"/>
        <v>210000</v>
      </c>
      <c r="S34" s="40">
        <f t="shared" si="7"/>
        <v>140000</v>
      </c>
      <c r="T34" s="40">
        <f t="shared" si="7"/>
        <v>70000</v>
      </c>
      <c r="U34" s="41">
        <f t="shared" si="7"/>
        <v>0</v>
      </c>
    </row>
    <row r="35" spans="1:22" s="5" customFormat="1" ht="18.75" customHeight="1">
      <c r="A35" s="46">
        <v>13</v>
      </c>
      <c r="B35" s="32" t="s">
        <v>54</v>
      </c>
      <c r="C35" s="28">
        <v>4200400</v>
      </c>
      <c r="D35" s="28">
        <v>4957480</v>
      </c>
      <c r="E35" s="28">
        <f>D35+E29-E23</f>
        <v>8816240</v>
      </c>
      <c r="F35" s="28">
        <f>D35+F29-F23</f>
        <v>7853841.91</v>
      </c>
      <c r="G35" s="43">
        <f>F35+G29-G23</f>
        <v>7483639.91</v>
      </c>
      <c r="H35" s="43">
        <f aca="true" t="shared" si="8" ref="H35:U35">G35-H23</f>
        <v>6588159.91</v>
      </c>
      <c r="I35" s="43">
        <f t="shared" si="8"/>
        <v>5692679.91</v>
      </c>
      <c r="J35" s="43">
        <f t="shared" si="8"/>
        <v>4933839.91</v>
      </c>
      <c r="K35" s="43">
        <f t="shared" si="8"/>
        <v>4149999.91</v>
      </c>
      <c r="L35" s="43">
        <f t="shared" si="8"/>
        <v>3549999.91</v>
      </c>
      <c r="M35" s="43">
        <f t="shared" si="8"/>
        <v>2999999.91</v>
      </c>
      <c r="N35" s="43">
        <f t="shared" si="8"/>
        <v>2449999.91</v>
      </c>
      <c r="O35" s="43">
        <f t="shared" si="8"/>
        <v>1899999.9100000001</v>
      </c>
      <c r="P35" s="43">
        <f t="shared" si="8"/>
        <v>1349999.9100000001</v>
      </c>
      <c r="Q35" s="43">
        <f t="shared" si="8"/>
        <v>1079999.9100000001</v>
      </c>
      <c r="R35" s="43">
        <f t="shared" si="8"/>
        <v>809999.9100000001</v>
      </c>
      <c r="S35" s="43">
        <f t="shared" si="8"/>
        <v>539999.9100000001</v>
      </c>
      <c r="T35" s="43">
        <f t="shared" si="8"/>
        <v>269999.91000000015</v>
      </c>
      <c r="U35" s="34">
        <f t="shared" si="8"/>
        <v>-0.08999999985098839</v>
      </c>
      <c r="V35" s="35"/>
    </row>
    <row r="36" spans="1:21" s="13" customFormat="1" ht="25.5">
      <c r="A36" s="14" t="s">
        <v>52</v>
      </c>
      <c r="B36" s="15" t="s">
        <v>55</v>
      </c>
      <c r="C36" s="25"/>
      <c r="D36" s="25"/>
      <c r="E36" s="26">
        <v>1620000</v>
      </c>
      <c r="F36" s="26">
        <f>F33</f>
        <v>1892561.91</v>
      </c>
      <c r="G36" s="12"/>
      <c r="H36" s="12"/>
      <c r="I36" s="12"/>
      <c r="J36" s="16"/>
      <c r="K36" s="16"/>
      <c r="L36" s="12"/>
      <c r="M36" s="12"/>
      <c r="N36" s="12"/>
      <c r="O36" s="12"/>
      <c r="P36" s="12"/>
      <c r="Q36" s="12"/>
      <c r="R36" s="12"/>
      <c r="S36" s="12"/>
      <c r="T36" s="12"/>
      <c r="U36" s="16"/>
    </row>
    <row r="37" spans="1:21" s="13" customFormat="1" ht="30" customHeight="1">
      <c r="A37" s="14" t="s">
        <v>53</v>
      </c>
      <c r="B37" s="15" t="s">
        <v>56</v>
      </c>
      <c r="C37" s="25"/>
      <c r="D37" s="25"/>
      <c r="E37" s="26">
        <v>12730</v>
      </c>
      <c r="F37" s="26">
        <v>2401.61</v>
      </c>
      <c r="G37" s="12">
        <f>56700+1123848</f>
        <v>1180548</v>
      </c>
      <c r="H37" s="16"/>
      <c r="I37" s="16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6"/>
    </row>
    <row r="38" spans="1:21" s="42" customFormat="1" ht="51" customHeight="1">
      <c r="A38" s="46">
        <v>14</v>
      </c>
      <c r="B38" s="31" t="s">
        <v>77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9">
        <v>0</v>
      </c>
    </row>
    <row r="39" spans="1:21" s="5" customFormat="1" ht="18.75" customHeight="1" hidden="1">
      <c r="A39" s="47" t="s">
        <v>7</v>
      </c>
      <c r="B39" s="68" t="s">
        <v>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</row>
    <row r="40" spans="1:21" s="55" customFormat="1" ht="18.75" customHeight="1">
      <c r="A40" s="46">
        <v>15</v>
      </c>
      <c r="B40" s="48" t="s">
        <v>57</v>
      </c>
      <c r="C40" s="53">
        <f aca="true" t="shared" si="9" ref="C40:U40">(C22+C25)/C7</f>
        <v>0.05170610326391357</v>
      </c>
      <c r="D40" s="53">
        <f t="shared" si="9"/>
        <v>0.07415837344700005</v>
      </c>
      <c r="E40" s="53">
        <f t="shared" si="9"/>
        <v>0.09467557421202084</v>
      </c>
      <c r="F40" s="53">
        <f t="shared" si="9"/>
        <v>0.10480817453778947</v>
      </c>
      <c r="G40" s="53">
        <f>(G22+G25)/G7</f>
        <v>0.16232616053063198</v>
      </c>
      <c r="H40" s="53">
        <f t="shared" si="9"/>
        <v>0.08170445016558149</v>
      </c>
      <c r="I40" s="53">
        <f t="shared" si="9"/>
        <v>0.07555467674499468</v>
      </c>
      <c r="J40" s="53">
        <f t="shared" si="9"/>
        <v>0.06033046074588637</v>
      </c>
      <c r="K40" s="53">
        <f t="shared" si="9"/>
        <v>0.06072473408476943</v>
      </c>
      <c r="L40" s="53">
        <f t="shared" si="9"/>
        <v>0.04605011941140692</v>
      </c>
      <c r="M40" s="53">
        <f t="shared" si="9"/>
        <v>0.04176640130737689</v>
      </c>
      <c r="N40" s="53">
        <f t="shared" si="9"/>
        <v>0.03874742231441382</v>
      </c>
      <c r="O40" s="53">
        <f t="shared" si="9"/>
        <v>0.03591347222254808</v>
      </c>
      <c r="P40" s="53">
        <f t="shared" si="9"/>
        <v>0.03325023508810571</v>
      </c>
      <c r="Q40" s="53">
        <f t="shared" si="9"/>
        <v>0.016688835121567023</v>
      </c>
      <c r="R40" s="53">
        <f t="shared" si="9"/>
        <v>0.015608723522766455</v>
      </c>
      <c r="S40" s="53">
        <f t="shared" si="9"/>
        <v>0.014577372322316835</v>
      </c>
      <c r="T40" s="53">
        <f t="shared" si="9"/>
        <v>0.013592858903710116</v>
      </c>
      <c r="U40" s="54">
        <f t="shared" si="9"/>
        <v>0.012653329554132604</v>
      </c>
    </row>
    <row r="41" spans="1:21" s="60" customFormat="1" ht="21" customHeight="1">
      <c r="A41" s="56" t="s">
        <v>58</v>
      </c>
      <c r="B41" s="57" t="s">
        <v>59</v>
      </c>
      <c r="C41" s="63">
        <v>0</v>
      </c>
      <c r="D41" s="63">
        <v>0</v>
      </c>
      <c r="E41" s="63">
        <v>0</v>
      </c>
      <c r="F41" s="63">
        <v>0</v>
      </c>
      <c r="G41" s="63">
        <f>(C43+D43+E43)/3</f>
        <v>0.07693168405436229</v>
      </c>
      <c r="H41" s="63">
        <f>(D43+E43+G43)/3</f>
        <v>0.049726082422774785</v>
      </c>
      <c r="I41" s="63">
        <f>(E43+G43+H43)/3</f>
        <v>0.06021569034977533</v>
      </c>
      <c r="J41" s="63">
        <f aca="true" t="shared" si="10" ref="J41:U41">(G43+H43+I43)/3</f>
        <v>0.06428788508624893</v>
      </c>
      <c r="K41" s="63">
        <f t="shared" si="10"/>
        <v>0.08540362739923874</v>
      </c>
      <c r="L41" s="63">
        <f t="shared" si="10"/>
        <v>0.08657901737571123</v>
      </c>
      <c r="M41" s="63">
        <f t="shared" si="10"/>
        <v>0.08437985296895072</v>
      </c>
      <c r="N41" s="63">
        <f t="shared" si="10"/>
        <v>0.0647552605938992</v>
      </c>
      <c r="O41" s="63">
        <f t="shared" si="10"/>
        <v>0.06528550334503809</v>
      </c>
      <c r="P41" s="63">
        <f t="shared" si="10"/>
        <v>0.06760022801310801</v>
      </c>
      <c r="Q41" s="63">
        <f t="shared" si="10"/>
        <v>0.07210086696192278</v>
      </c>
      <c r="R41" s="63">
        <f t="shared" si="10"/>
        <v>0.07602663921275422</v>
      </c>
      <c r="S41" s="63">
        <f t="shared" si="10"/>
        <v>0.08085826630192901</v>
      </c>
      <c r="T41" s="63">
        <f t="shared" si="10"/>
        <v>0.08709004182707512</v>
      </c>
      <c r="U41" s="64">
        <f t="shared" si="10"/>
        <v>0.09475235037065481</v>
      </c>
    </row>
    <row r="42" spans="1:21" s="60" customFormat="1" ht="25.5">
      <c r="A42" s="56" t="s">
        <v>72</v>
      </c>
      <c r="B42" s="57" t="s">
        <v>74</v>
      </c>
      <c r="C42" s="63">
        <f>(C22+C14+C38)/C7</f>
        <v>0.05170610326391357</v>
      </c>
      <c r="D42" s="63">
        <f aca="true" t="shared" si="11" ref="D42:U42">(D22+D14+D38)/D7</f>
        <v>0.07415837344700005</v>
      </c>
      <c r="E42" s="63">
        <f t="shared" si="11"/>
        <v>0.09467557421202084</v>
      </c>
      <c r="F42" s="63">
        <f t="shared" si="11"/>
        <v>0.10480817453778947</v>
      </c>
      <c r="G42" s="63">
        <f t="shared" si="11"/>
        <v>0.16232616053063198</v>
      </c>
      <c r="H42" s="63">
        <f t="shared" si="11"/>
        <v>0.08170445016558149</v>
      </c>
      <c r="I42" s="63">
        <f t="shared" si="11"/>
        <v>0.07555467674499468</v>
      </c>
      <c r="J42" s="63">
        <f t="shared" si="11"/>
        <v>0.06033046074588637</v>
      </c>
      <c r="K42" s="63">
        <f t="shared" si="11"/>
        <v>0.06072473408476943</v>
      </c>
      <c r="L42" s="63">
        <f t="shared" si="11"/>
        <v>0.04605011941140692</v>
      </c>
      <c r="M42" s="63">
        <f t="shared" si="11"/>
        <v>0.04176640130737689</v>
      </c>
      <c r="N42" s="63">
        <f t="shared" si="11"/>
        <v>0.03874742231441382</v>
      </c>
      <c r="O42" s="63">
        <f t="shared" si="11"/>
        <v>0.03591347222254808</v>
      </c>
      <c r="P42" s="63">
        <f t="shared" si="11"/>
        <v>0.03325023508810571</v>
      </c>
      <c r="Q42" s="63">
        <f t="shared" si="11"/>
        <v>0.016688835121567023</v>
      </c>
      <c r="R42" s="63">
        <f t="shared" si="11"/>
        <v>0.015608723522766455</v>
      </c>
      <c r="S42" s="63">
        <f t="shared" si="11"/>
        <v>0.014577372322316835</v>
      </c>
      <c r="T42" s="63">
        <f t="shared" si="11"/>
        <v>0.013592858903710116</v>
      </c>
      <c r="U42" s="64">
        <f t="shared" si="11"/>
        <v>0.012653329554132604</v>
      </c>
    </row>
    <row r="43" spans="1:21" s="60" customFormat="1" ht="25.5">
      <c r="A43" s="56" t="s">
        <v>73</v>
      </c>
      <c r="B43" s="57" t="s">
        <v>75</v>
      </c>
      <c r="C43" s="63">
        <f>(C8-C47+C10)/C7</f>
        <v>0.1397376415424121</v>
      </c>
      <c r="D43" s="63">
        <f aca="true" t="shared" si="12" ref="D43:U43">(D8-D47+D10)/D7</f>
        <v>0.03126759459963148</v>
      </c>
      <c r="E43" s="63">
        <f t="shared" si="12"/>
        <v>0.059789816021043274</v>
      </c>
      <c r="F43" s="63">
        <f t="shared" si="12"/>
        <v>0.0738569473511998</v>
      </c>
      <c r="G43" s="63">
        <f t="shared" si="12"/>
        <v>0.05812083664764961</v>
      </c>
      <c r="H43" s="63">
        <f t="shared" si="12"/>
        <v>0.0627364183806331</v>
      </c>
      <c r="I43" s="63">
        <f t="shared" si="12"/>
        <v>0.07200640023046405</v>
      </c>
      <c r="J43" s="63">
        <f t="shared" si="12"/>
        <v>0.12146806358661906</v>
      </c>
      <c r="K43" s="63">
        <f t="shared" si="12"/>
        <v>0.06626258831005062</v>
      </c>
      <c r="L43" s="63">
        <f t="shared" si="12"/>
        <v>0.06540890701018243</v>
      </c>
      <c r="M43" s="63">
        <f t="shared" si="12"/>
        <v>0.06259428646146459</v>
      </c>
      <c r="N43" s="63">
        <f t="shared" si="12"/>
        <v>0.06785331656346727</v>
      </c>
      <c r="O43" s="63">
        <f t="shared" si="12"/>
        <v>0.07235308101439218</v>
      </c>
      <c r="P43" s="63">
        <f t="shared" si="12"/>
        <v>0.07609620330790887</v>
      </c>
      <c r="Q43" s="63">
        <f t="shared" si="12"/>
        <v>0.07963063331596164</v>
      </c>
      <c r="R43" s="63">
        <f t="shared" si="12"/>
        <v>0.08684796228191655</v>
      </c>
      <c r="S43" s="63">
        <f t="shared" si="12"/>
        <v>0.09479152988334716</v>
      </c>
      <c r="T43" s="63">
        <f t="shared" si="12"/>
        <v>0.1026175589467007</v>
      </c>
      <c r="U43" s="64">
        <f t="shared" si="12"/>
        <v>0.11032909830262048</v>
      </c>
    </row>
    <row r="44" spans="1:21" s="52" customFormat="1" ht="25.5">
      <c r="A44" s="50">
        <v>16</v>
      </c>
      <c r="B44" s="51" t="s">
        <v>76</v>
      </c>
      <c r="C44" s="61" t="s">
        <v>61</v>
      </c>
      <c r="D44" s="61" t="s">
        <v>61</v>
      </c>
      <c r="E44" s="61" t="s">
        <v>61</v>
      </c>
      <c r="F44" s="61" t="s">
        <v>61</v>
      </c>
      <c r="G44" s="61" t="s">
        <v>71</v>
      </c>
      <c r="H44" s="61" t="s">
        <v>71</v>
      </c>
      <c r="I44" s="61" t="s">
        <v>71</v>
      </c>
      <c r="J44" s="61" t="s">
        <v>61</v>
      </c>
      <c r="K44" s="61" t="s">
        <v>61</v>
      </c>
      <c r="L44" s="61" t="s">
        <v>61</v>
      </c>
      <c r="M44" s="61" t="s">
        <v>61</v>
      </c>
      <c r="N44" s="61" t="s">
        <v>61</v>
      </c>
      <c r="O44" s="61" t="s">
        <v>61</v>
      </c>
      <c r="P44" s="61" t="s">
        <v>61</v>
      </c>
      <c r="Q44" s="61" t="s">
        <v>61</v>
      </c>
      <c r="R44" s="61" t="s">
        <v>61</v>
      </c>
      <c r="S44" s="61" t="s">
        <v>61</v>
      </c>
      <c r="T44" s="61" t="s">
        <v>61</v>
      </c>
      <c r="U44" s="62" t="s">
        <v>61</v>
      </c>
    </row>
    <row r="45" spans="1:21" s="55" customFormat="1" ht="25.5">
      <c r="A45" s="46">
        <v>17</v>
      </c>
      <c r="B45" s="48" t="s">
        <v>63</v>
      </c>
      <c r="C45" s="53">
        <f>(C23+C14+C24-C15-C37)/C7</f>
        <v>0.05170610326391357</v>
      </c>
      <c r="D45" s="53">
        <f aca="true" t="shared" si="13" ref="D45:U45">(D23+D14+D24-D15-D37)/D7</f>
        <v>0.07415837344700005</v>
      </c>
      <c r="E45" s="53">
        <f t="shared" si="13"/>
        <v>0.09394741716440382</v>
      </c>
      <c r="F45" s="53">
        <f t="shared" si="13"/>
        <v>0.1046488042408684</v>
      </c>
      <c r="G45" s="53">
        <f t="shared" si="13"/>
        <v>0.0889571288089673</v>
      </c>
      <c r="H45" s="53">
        <f t="shared" si="13"/>
        <v>0.08170445016558149</v>
      </c>
      <c r="I45" s="53">
        <f t="shared" si="13"/>
        <v>0.07555467674499468</v>
      </c>
      <c r="J45" s="53">
        <f t="shared" si="13"/>
        <v>0.06033046074588637</v>
      </c>
      <c r="K45" s="53">
        <f t="shared" si="13"/>
        <v>0.06072473408476943</v>
      </c>
      <c r="L45" s="53">
        <f t="shared" si="13"/>
        <v>0.04605011941140692</v>
      </c>
      <c r="M45" s="53">
        <f t="shared" si="13"/>
        <v>0.04176640130737689</v>
      </c>
      <c r="N45" s="53">
        <f t="shared" si="13"/>
        <v>0.03874742231441382</v>
      </c>
      <c r="O45" s="53">
        <f t="shared" si="13"/>
        <v>0.03591347222254808</v>
      </c>
      <c r="P45" s="53">
        <f t="shared" si="13"/>
        <v>0.03325023508810571</v>
      </c>
      <c r="Q45" s="53">
        <f t="shared" si="13"/>
        <v>0.016688835121567023</v>
      </c>
      <c r="R45" s="53">
        <f t="shared" si="13"/>
        <v>0.015608723522766455</v>
      </c>
      <c r="S45" s="53">
        <f t="shared" si="13"/>
        <v>0.014577372322316835</v>
      </c>
      <c r="T45" s="53">
        <f t="shared" si="13"/>
        <v>0.013592858903710116</v>
      </c>
      <c r="U45" s="54">
        <f t="shared" si="13"/>
        <v>0.012653329554132604</v>
      </c>
    </row>
    <row r="46" spans="1:21" s="52" customFormat="1" ht="27" customHeight="1">
      <c r="A46" s="50">
        <v>18</v>
      </c>
      <c r="B46" s="51" t="s">
        <v>64</v>
      </c>
      <c r="C46" s="36">
        <f aca="true" t="shared" si="14" ref="C46:U46">(C35-C36)/C7</f>
        <v>0.2881587654088645</v>
      </c>
      <c r="D46" s="36">
        <f t="shared" si="14"/>
        <v>0.3490007133314725</v>
      </c>
      <c r="E46" s="36">
        <f t="shared" si="14"/>
        <v>0.41162552021551496</v>
      </c>
      <c r="F46" s="36">
        <f t="shared" si="14"/>
        <v>0.3955891937615139</v>
      </c>
      <c r="G46" s="36">
        <f t="shared" si="14"/>
        <v>0.4650953743094782</v>
      </c>
      <c r="H46" s="36">
        <f t="shared" si="14"/>
        <v>0.4448747466240512</v>
      </c>
      <c r="I46" s="36">
        <f t="shared" si="14"/>
        <v>0.36737177726557807</v>
      </c>
      <c r="J46" s="36">
        <f t="shared" si="14"/>
        <v>0.29917435809434184</v>
      </c>
      <c r="K46" s="36">
        <f t="shared" si="14"/>
        <v>0.25833027445382445</v>
      </c>
      <c r="L46" s="36">
        <f t="shared" si="14"/>
        <v>0.21350851637378812</v>
      </c>
      <c r="M46" s="36">
        <f t="shared" si="14"/>
        <v>0.1744968389315023</v>
      </c>
      <c r="N46" s="36">
        <f t="shared" si="14"/>
        <v>0.13795329610696347</v>
      </c>
      <c r="O46" s="36">
        <f t="shared" si="14"/>
        <v>0.10366684997512815</v>
      </c>
      <c r="P46" s="36">
        <f t="shared" si="14"/>
        <v>0.07144328247082853</v>
      </c>
      <c r="Q46" s="36">
        <f t="shared" si="14"/>
        <v>0.05543610380247048</v>
      </c>
      <c r="R46" s="36">
        <f t="shared" si="14"/>
        <v>0.040366095107613784</v>
      </c>
      <c r="S46" s="36">
        <f t="shared" si="14"/>
        <v>0.02612692005074043</v>
      </c>
      <c r="T46" s="36">
        <f t="shared" si="14"/>
        <v>0.012682968796504242</v>
      </c>
      <c r="U46" s="37">
        <f t="shared" si="14"/>
        <v>-4.104522104834894E-09</v>
      </c>
    </row>
    <row r="47" spans="1:21" s="42" customFormat="1" ht="24" customHeight="1">
      <c r="A47" s="46">
        <v>19</v>
      </c>
      <c r="B47" s="31" t="s">
        <v>65</v>
      </c>
      <c r="C47" s="39">
        <f aca="true" t="shared" si="15" ref="C47:U47">C11+C24</f>
        <v>11526765.75</v>
      </c>
      <c r="D47" s="39">
        <f t="shared" si="15"/>
        <v>13241694.5</v>
      </c>
      <c r="E47" s="39">
        <f t="shared" si="15"/>
        <v>13687273.33</v>
      </c>
      <c r="F47" s="39">
        <f t="shared" si="15"/>
        <v>13743017.37</v>
      </c>
      <c r="G47" s="40">
        <f t="shared" si="15"/>
        <v>13573165.829999998</v>
      </c>
      <c r="H47" s="40">
        <f t="shared" si="15"/>
        <v>13879957</v>
      </c>
      <c r="I47" s="40">
        <f t="shared" si="15"/>
        <v>14179903</v>
      </c>
      <c r="J47" s="40">
        <f t="shared" si="15"/>
        <v>14488327</v>
      </c>
      <c r="K47" s="40">
        <f t="shared" si="15"/>
        <v>15000217</v>
      </c>
      <c r="L47" s="40">
        <f t="shared" si="15"/>
        <v>15539419</v>
      </c>
      <c r="M47" s="40">
        <f t="shared" si="15"/>
        <v>16116149</v>
      </c>
      <c r="N47" s="40">
        <f t="shared" si="15"/>
        <v>16554583</v>
      </c>
      <c r="O47" s="40">
        <f t="shared" si="15"/>
        <v>17001858</v>
      </c>
      <c r="P47" s="40">
        <f t="shared" si="15"/>
        <v>17458185</v>
      </c>
      <c r="Q47" s="40">
        <f t="shared" si="15"/>
        <v>17930532</v>
      </c>
      <c r="R47" s="40">
        <f t="shared" si="15"/>
        <v>18323622</v>
      </c>
      <c r="S47" s="40">
        <f t="shared" si="15"/>
        <v>18709151</v>
      </c>
      <c r="T47" s="40">
        <f t="shared" si="15"/>
        <v>19103822</v>
      </c>
      <c r="U47" s="41">
        <f t="shared" si="15"/>
        <v>19507845</v>
      </c>
    </row>
    <row r="48" spans="1:21" s="42" customFormat="1" ht="24" customHeight="1">
      <c r="A48" s="46">
        <v>20</v>
      </c>
      <c r="B48" s="31" t="s">
        <v>66</v>
      </c>
      <c r="C48" s="39">
        <f aca="true" t="shared" si="16" ref="C48:U48">C47+C27</f>
        <v>14271247.33</v>
      </c>
      <c r="D48" s="39">
        <f t="shared" si="16"/>
        <v>16615243.18</v>
      </c>
      <c r="E48" s="39">
        <f t="shared" si="16"/>
        <v>21673552.33</v>
      </c>
      <c r="F48" s="39">
        <f t="shared" si="16"/>
        <v>17563088.41</v>
      </c>
      <c r="G48" s="40">
        <f t="shared" si="16"/>
        <v>16475307.829999998</v>
      </c>
      <c r="H48" s="40">
        <f t="shared" si="16"/>
        <v>13888542</v>
      </c>
      <c r="I48" s="40">
        <f t="shared" si="16"/>
        <v>14375212</v>
      </c>
      <c r="J48" s="40">
        <f t="shared" si="16"/>
        <v>15507680</v>
      </c>
      <c r="K48" s="40">
        <f t="shared" si="16"/>
        <v>15355866</v>
      </c>
      <c r="L48" s="40">
        <f t="shared" si="16"/>
        <v>16076971</v>
      </c>
      <c r="M48" s="40">
        <f t="shared" si="16"/>
        <v>16692288</v>
      </c>
      <c r="N48" s="40">
        <f t="shared" si="16"/>
        <v>17259633</v>
      </c>
      <c r="O48" s="40">
        <f t="shared" si="16"/>
        <v>17827941</v>
      </c>
      <c r="P48" s="40">
        <f t="shared" si="16"/>
        <v>18396107</v>
      </c>
      <c r="Q48" s="40">
        <f t="shared" si="16"/>
        <v>19181887</v>
      </c>
      <c r="R48" s="40">
        <f t="shared" si="16"/>
        <v>19766343</v>
      </c>
      <c r="S48" s="40">
        <f t="shared" si="16"/>
        <v>20468334</v>
      </c>
      <c r="T48" s="40">
        <f t="shared" si="16"/>
        <v>21088384</v>
      </c>
      <c r="U48" s="41">
        <f t="shared" si="16"/>
        <v>21727035</v>
      </c>
    </row>
    <row r="49" spans="1:21" s="42" customFormat="1" ht="24" customHeight="1">
      <c r="A49" s="46">
        <v>21</v>
      </c>
      <c r="B49" s="31" t="s">
        <v>67</v>
      </c>
      <c r="C49" s="39">
        <f aca="true" t="shared" si="17" ref="C49:U49">C7-C48</f>
        <v>305439.22000000067</v>
      </c>
      <c r="D49" s="39">
        <f t="shared" si="17"/>
        <v>-2410458.460000001</v>
      </c>
      <c r="E49" s="39">
        <f t="shared" si="17"/>
        <v>-4191060</v>
      </c>
      <c r="F49" s="39">
        <f t="shared" si="17"/>
        <v>-2493718.2300000004</v>
      </c>
      <c r="G49" s="40">
        <f t="shared" si="17"/>
        <v>-384758.8299999982</v>
      </c>
      <c r="H49" s="40">
        <f t="shared" si="17"/>
        <v>920480</v>
      </c>
      <c r="I49" s="40">
        <f t="shared" si="17"/>
        <v>1120480</v>
      </c>
      <c r="J49" s="40">
        <f t="shared" si="17"/>
        <v>983840</v>
      </c>
      <c r="K49" s="40">
        <f t="shared" si="17"/>
        <v>708840</v>
      </c>
      <c r="L49" s="40">
        <f t="shared" si="17"/>
        <v>550000</v>
      </c>
      <c r="M49" s="40">
        <f t="shared" si="17"/>
        <v>500000</v>
      </c>
      <c r="N49" s="40">
        <f t="shared" si="17"/>
        <v>500000</v>
      </c>
      <c r="O49" s="40">
        <f t="shared" si="17"/>
        <v>500000</v>
      </c>
      <c r="P49" s="40">
        <f t="shared" si="17"/>
        <v>500000</v>
      </c>
      <c r="Q49" s="40">
        <f t="shared" si="17"/>
        <v>300000</v>
      </c>
      <c r="R49" s="40">
        <f t="shared" si="17"/>
        <v>300000</v>
      </c>
      <c r="S49" s="40">
        <f t="shared" si="17"/>
        <v>200000</v>
      </c>
      <c r="T49" s="40">
        <f t="shared" si="17"/>
        <v>200000</v>
      </c>
      <c r="U49" s="41">
        <f t="shared" si="17"/>
        <v>200000</v>
      </c>
    </row>
    <row r="50" spans="1:21" s="42" customFormat="1" ht="24" customHeight="1">
      <c r="A50" s="46">
        <v>22</v>
      </c>
      <c r="B50" s="31" t="s">
        <v>68</v>
      </c>
      <c r="C50" s="39">
        <f aca="true" t="shared" si="18" ref="C50:U50">C18+C20+C29</f>
        <v>2051461</v>
      </c>
      <c r="D50" s="39">
        <f t="shared" si="18"/>
        <v>3751149</v>
      </c>
      <c r="E50" s="39">
        <f t="shared" si="18"/>
        <v>5543900</v>
      </c>
      <c r="F50" s="39">
        <f t="shared" si="18"/>
        <v>4544879.0600000005</v>
      </c>
      <c r="G50" s="40">
        <f t="shared" si="18"/>
        <v>2628941.83</v>
      </c>
      <c r="H50" s="40">
        <f t="shared" si="18"/>
        <v>0</v>
      </c>
      <c r="I50" s="40">
        <f t="shared" si="18"/>
        <v>25000</v>
      </c>
      <c r="J50" s="40">
        <f t="shared" si="18"/>
        <v>250000</v>
      </c>
      <c r="K50" s="40">
        <f t="shared" si="18"/>
        <v>475000</v>
      </c>
      <c r="L50" s="40">
        <f t="shared" si="18"/>
        <v>400000</v>
      </c>
      <c r="M50" s="40">
        <f t="shared" si="18"/>
        <v>350000</v>
      </c>
      <c r="N50" s="40">
        <f t="shared" si="18"/>
        <v>300000</v>
      </c>
      <c r="O50" s="40">
        <f t="shared" si="18"/>
        <v>250000</v>
      </c>
      <c r="P50" s="40">
        <f t="shared" si="18"/>
        <v>200000</v>
      </c>
      <c r="Q50" s="40">
        <f t="shared" si="18"/>
        <v>150000</v>
      </c>
      <c r="R50" s="40">
        <f t="shared" si="18"/>
        <v>180000</v>
      </c>
      <c r="S50" s="40">
        <f t="shared" si="18"/>
        <v>210000</v>
      </c>
      <c r="T50" s="40">
        <f t="shared" si="18"/>
        <v>140000</v>
      </c>
      <c r="U50" s="41">
        <f t="shared" si="18"/>
        <v>70000</v>
      </c>
    </row>
    <row r="51" spans="1:21" s="42" customFormat="1" ht="24" customHeight="1">
      <c r="A51" s="46">
        <v>23</v>
      </c>
      <c r="B51" s="31" t="s">
        <v>69</v>
      </c>
      <c r="C51" s="39">
        <f aca="true" t="shared" si="19" ref="C51:U51">C23+C25</f>
        <v>634740</v>
      </c>
      <c r="D51" s="39">
        <f t="shared" si="19"/>
        <v>828320</v>
      </c>
      <c r="E51" s="39">
        <f t="shared" si="19"/>
        <v>1332840</v>
      </c>
      <c r="F51" s="39">
        <f t="shared" si="19"/>
        <v>1296200</v>
      </c>
      <c r="G51" s="40">
        <f t="shared" si="19"/>
        <v>2244183</v>
      </c>
      <c r="H51" s="40">
        <f t="shared" si="19"/>
        <v>895480</v>
      </c>
      <c r="I51" s="40">
        <f t="shared" si="19"/>
        <v>895480</v>
      </c>
      <c r="J51" s="40">
        <f t="shared" si="19"/>
        <v>758840</v>
      </c>
      <c r="K51" s="40">
        <f t="shared" si="19"/>
        <v>783840</v>
      </c>
      <c r="L51" s="40">
        <f t="shared" si="19"/>
        <v>600000</v>
      </c>
      <c r="M51" s="40">
        <f t="shared" si="19"/>
        <v>550000</v>
      </c>
      <c r="N51" s="40">
        <f t="shared" si="19"/>
        <v>550000</v>
      </c>
      <c r="O51" s="40">
        <f t="shared" si="19"/>
        <v>550000</v>
      </c>
      <c r="P51" s="40">
        <f t="shared" si="19"/>
        <v>550000</v>
      </c>
      <c r="Q51" s="40">
        <f t="shared" si="19"/>
        <v>270000</v>
      </c>
      <c r="R51" s="40">
        <f t="shared" si="19"/>
        <v>270000</v>
      </c>
      <c r="S51" s="40">
        <f t="shared" si="19"/>
        <v>270000</v>
      </c>
      <c r="T51" s="40">
        <f t="shared" si="19"/>
        <v>270000</v>
      </c>
      <c r="U51" s="41">
        <f t="shared" si="19"/>
        <v>270000</v>
      </c>
    </row>
  </sheetData>
  <mergeCells count="8">
    <mergeCell ref="A4:A5"/>
    <mergeCell ref="A2:U2"/>
    <mergeCell ref="B39:U39"/>
    <mergeCell ref="B4:B5"/>
    <mergeCell ref="G4:I4"/>
    <mergeCell ref="J4:U4"/>
    <mergeCell ref="F4:F5"/>
    <mergeCell ref="C4:D4"/>
  </mergeCells>
  <printOptions horizontalCentered="1" verticalCentered="1"/>
  <pageMargins left="0.1968503937007874" right="0.1968503937007874" top="0.61" bottom="0.31496062992125984" header="0.15748031496062992" footer="0.15748031496062992"/>
  <pageSetup fitToHeight="1" fitToWidth="1" horizontalDpi="600" verticalDpi="600" orientation="landscape" paperSize="9" scale="52" r:id="rId1"/>
  <headerFooter alignWithMargins="0">
    <oddHeader>&amp;R&amp;"Arial,Pogrubiony"&amp;11Załącznik
&amp;"Arial,Normalny"do Uchwały Nr  VI/49/2011 
Rady Gminy Miłkowice
z dnia 29 marca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2011-04-04T06:47:34Z</cp:lastPrinted>
  <dcterms:created xsi:type="dcterms:W3CDTF">2009-11-13T08:08:33Z</dcterms:created>
  <dcterms:modified xsi:type="dcterms:W3CDTF">2011-04-04T06:47:35Z</dcterms:modified>
  <cp:category/>
  <cp:version/>
  <cp:contentType/>
  <cp:contentStatus/>
</cp:coreProperties>
</file>