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activeTab="0"/>
  </bookViews>
  <sheets>
    <sheet name="zał_1" sheetId="1" r:id="rId1"/>
    <sheet name="Zal_2" sheetId="2" r:id="rId2"/>
  </sheets>
  <definedNames>
    <definedName name="_xlnm.Print_Area" localSheetId="1">'Zal_2'!$A$2:$AE$27</definedName>
    <definedName name="_xlnm.Print_Area" localSheetId="0">'zał_1'!$A$1:$U$51</definedName>
  </definedNames>
  <calcPr fullCalcOnLoad="1"/>
</workbook>
</file>

<file path=xl/sharedStrings.xml><?xml version="1.0" encoding="utf-8"?>
<sst xmlns="http://schemas.openxmlformats.org/spreadsheetml/2006/main" count="233" uniqueCount="100">
  <si>
    <t>Lp.</t>
  </si>
  <si>
    <t>Wyszczególnienie</t>
  </si>
  <si>
    <t>pożyczek</t>
  </si>
  <si>
    <t>kredytów</t>
  </si>
  <si>
    <t>obligacji</t>
  </si>
  <si>
    <t>2.</t>
  </si>
  <si>
    <t>dochody bieżące</t>
  </si>
  <si>
    <t>6.</t>
  </si>
  <si>
    <t>DOCHODY OGÓŁEM, z tego:</t>
  </si>
  <si>
    <t>PLAN</t>
  </si>
  <si>
    <t>WYKONANIE</t>
  </si>
  <si>
    <t>PROGNOZA</t>
  </si>
  <si>
    <t>dochody majątkowe, w tym:</t>
  </si>
  <si>
    <t>- dochody ze sprzedaży majątku</t>
  </si>
  <si>
    <t>kredytów, pożyczek i obligacji na realizację projektów finansowanych z udziałem środków UE</t>
  </si>
  <si>
    <t>Relacje do dochodów (zg. z art. 169 i art.170 ustawy o finansach publicznych z dnia 30 czerwca 2005 roku):</t>
  </si>
  <si>
    <t>1a</t>
  </si>
  <si>
    <t>1b</t>
  </si>
  <si>
    <t>1c</t>
  </si>
  <si>
    <t xml:space="preserve">WIELOLETNIA PROGNOZA FINANSOWA GMINY MIŁKOWICE 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</si>
  <si>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</si>
  <si>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</si>
  <si>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</si>
  <si>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</si>
  <si>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2c</t>
  </si>
  <si>
    <t>2d</t>
  </si>
  <si>
    <t>2e</t>
  </si>
  <si>
    <t>związane z funkcjonowaniem organów JST</t>
  </si>
  <si>
    <t>z tytułu gwarancji i poręczęń, w tym:</t>
  </si>
  <si>
    <t>gwarancje i poręczenia podlegające wyłączeniu z limitów spłaty zobowiązań z art..243 ufp/169 sufp</t>
  </si>
  <si>
    <t>wydatki bieżące objęte limitem art.226 ust.4 ufp</t>
  </si>
  <si>
    <t>Różnica (1-2)</t>
  </si>
  <si>
    <t>na 3kw.2010</t>
  </si>
  <si>
    <t>Przewid. wykonanie 2010</t>
  </si>
  <si>
    <t>4a</t>
  </si>
  <si>
    <t>nadwyżka budżetowa z lat ubiegłych plus wolne środki, zgodnie z art.217 ufp, angażowane na pokrycie budżetu roku bieżącego</t>
  </si>
  <si>
    <t>Inne przychody nie związane z zaciągnięciem długu</t>
  </si>
  <si>
    <t>Środki do dyspozycji (3+4+5)</t>
  </si>
  <si>
    <t>7a</t>
  </si>
  <si>
    <t>7b</t>
  </si>
  <si>
    <t>rozchody z tytułu spłaty rat kapitałowych oraz wykupu papierów wartościowych</t>
  </si>
  <si>
    <t>wydatki bieżące na obsługę długu</t>
  </si>
  <si>
    <t>Spłata i obsługa długu, z tego:</t>
  </si>
  <si>
    <t>Inne rozchody (bez spłaty długu np. udzielane pożyczki)</t>
  </si>
  <si>
    <t>Środki do dyspozycji (6-7-8)</t>
  </si>
  <si>
    <t>Wydatki majątkowe</t>
  </si>
  <si>
    <t>10a</t>
  </si>
  <si>
    <t>wydatki majątkowe objęte limitem art.226 ust. 4 ufp</t>
  </si>
  <si>
    <t>PRZYCHODY (kredyty, pożyczki, emisje obligacji)</t>
  </si>
  <si>
    <t>Rozliczenie budżetu (9-10+11)</t>
  </si>
  <si>
    <t>13a</t>
  </si>
  <si>
    <t>13b</t>
  </si>
  <si>
    <t>Kwota długu, w tym:</t>
  </si>
  <si>
    <t>łączna kwota wyłączeń z art.243 ust.3 pkt 1 ufp oraz art.170 ust.3 sufp</t>
  </si>
  <si>
    <t>kwota wyłączeń z art.243 ust.3 pkt 1 ufp oraz art.169 ust.3 sufp przypadająca na dany rok budżetowy</t>
  </si>
  <si>
    <t>Planowana łączna kwota spłaty zobowiązań</t>
  </si>
  <si>
    <t>15a</t>
  </si>
  <si>
    <t>maksymalny dopuszczalny wskaźnik spłaty z art.243 ufp</t>
  </si>
  <si>
    <t>TAK</t>
  </si>
  <si>
    <t>Planowana łączna kwota spłaty zobowiązań do dochodów ogółem - max 15% z art.169 sufp</t>
  </si>
  <si>
    <t>Zadłużenie/dochody ogółem [(13-13a):1] - max 60% z art.170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</si>
  <si>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</si>
  <si>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</si>
  <si>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</si>
  <si>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</si>
  <si>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</si>
  <si>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Nadwyżka budżetowa z lat ubiegłych plus wolne środki, zgodnie z art.217 ufp, w tym:</t>
  </si>
  <si>
    <t>NIE</t>
  </si>
  <si>
    <t>15b</t>
  </si>
  <si>
    <t>15c</t>
  </si>
  <si>
    <t>Planowana łączna kwota spłaty zobowiązań po uwzględnieniu art.244 ufp</t>
  </si>
  <si>
    <t>Relacja (Db-Wb+Dsm)/Do, o której mowa w art.243 w danym roku</t>
  </si>
  <si>
    <t>Spełnienie wskaźnika spłaty z art.243 ufp po uwzględnieniu art.244 ufp</t>
  </si>
  <si>
    <t>Kwota zobowiązań związku współtworzonego przez jst przypadających do spłaty w danym roku budżetowym podlegająca doliczeniu zgodnie z art.244 ufp</t>
  </si>
  <si>
    <t>Wykaz przedsięwzięć do WPF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</si>
  <si>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</si>
  <si>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</si>
  <si>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</si>
  <si>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</si>
  <si>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</si>
  <si>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</si>
  <si>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</si>
  <si>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zobowiązań</t>
  </si>
  <si>
    <t>Rozdział</t>
  </si>
  <si>
    <t>od</t>
  </si>
  <si>
    <t>do</t>
  </si>
  <si>
    <t>Przedsięwzięcia ogółem</t>
  </si>
  <si>
    <t>0,00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</si>
  <si>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</si>
  <si>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</si>
  <si>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</si>
  <si>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</si>
  <si>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Urząd Gminy w Miłkowicach</t>
  </si>
  <si>
    <t>2005</t>
  </si>
  <si>
    <t>2011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</si>
  <si>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</si>
  <si>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</si>
  <si>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</si>
  <si>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</si>
  <si>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Budowa kanalizacji sanitarnej dla miejscowości Jezierzany, Jakuszów, Pątnówek i Bobrów I etap (Pątnówek-Jakuszów) - Poprawa warunków i stanardu życia mieszkańców  w miejscowościach Jakuszów, Pątnówek i Bobrów poprzez budowę sieci kanalizacji sanitarnej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</si>
</sst>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#,##0.000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Alignment="1">
      <alignment horizontal="center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center" vertical="center"/>
    </xf>
    <xf numFmtId="10" fontId="13" fillId="0" borderId="4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right" vertical="center" wrapText="1"/>
    </xf>
    <xf numFmtId="4" fontId="4" fillId="0" borderId="6" xfId="0" applyNumberFormat="1" applyBorder="1" applyAlignment="1">
      <alignment horizontal="center"/>
    </xf>
    <xf numFmtId="4" fontId="14" fillId="0" borderId="4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0" fontId="14" fillId="0" borderId="4" xfId="0" applyNumberFormat="1" applyFont="1" applyBorder="1" applyAlignment="1">
      <alignment horizontal="right" vertical="center" wrapText="1"/>
    </xf>
    <xf numFmtId="10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left" vertical="center" wrapText="1"/>
    </xf>
    <xf numFmtId="2" fontId="11" fillId="0" borderId="0" xfId="0" applyNumberFormat="1" applyFont="1" applyAlignment="1">
      <alignment vertical="center"/>
    </xf>
    <xf numFmtId="10" fontId="13" fillId="0" borderId="4" xfId="0" applyNumberFormat="1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7" xfId="0" applyNumberFormat="1" applyFont="1" applyFill="1" applyBorder="1" applyAlignment="1" applyProtection="1">
      <alignment/>
      <protection locked="0"/>
    </xf>
    <xf numFmtId="49" fontId="1" fillId="3" borderId="8" xfId="0" applyFont="1" applyAlignment="1">
      <alignment horizontal="center" vertical="center" wrapText="1"/>
    </xf>
    <xf numFmtId="4" fontId="1" fillId="3" borderId="8" xfId="0" applyNumberFormat="1" applyFont="1" applyAlignment="1">
      <alignment horizontal="right" vertical="center" wrapText="1"/>
    </xf>
    <xf numFmtId="4" fontId="1" fillId="3" borderId="9" xfId="0" applyNumberFormat="1" applyFont="1" applyBorder="1" applyAlignment="1">
      <alignment horizontal="right" vertical="center" wrapText="1"/>
    </xf>
    <xf numFmtId="4" fontId="17" fillId="3" borderId="8" xfId="0" applyNumberFormat="1" applyFont="1" applyAlignment="1">
      <alignment horizontal="right" vertical="center" wrapText="1"/>
    </xf>
    <xf numFmtId="3" fontId="17" fillId="3" borderId="8" xfId="0" applyNumberFormat="1" applyFont="1" applyAlignment="1">
      <alignment horizontal="right" vertical="center" wrapText="1"/>
    </xf>
    <xf numFmtId="3" fontId="1" fillId="3" borderId="8" xfId="0" applyNumberFormat="1" applyFont="1" applyAlignment="1">
      <alignment horizontal="right" vertical="center" wrapText="1"/>
    </xf>
    <xf numFmtId="49" fontId="17" fillId="0" borderId="8" xfId="0" applyFont="1" applyFill="1" applyAlignment="1">
      <alignment horizontal="center" vertical="center" wrapText="1"/>
    </xf>
    <xf numFmtId="4" fontId="17" fillId="0" borderId="8" xfId="0" applyNumberFormat="1" applyFont="1" applyFill="1" applyAlignment="1">
      <alignment horizontal="right" vertical="center" wrapText="1"/>
    </xf>
    <xf numFmtId="49" fontId="16" fillId="3" borderId="0" xfId="0" applyFont="1" applyBorder="1" applyAlignment="1">
      <alignment horizontal="center" vertical="center" wrapText="1"/>
    </xf>
    <xf numFmtId="49" fontId="16" fillId="3" borderId="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0" borderId="2" xfId="0" applyNumberForma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7" fillId="3" borderId="0" xfId="0" applyFont="1" applyAlignment="1">
      <alignment horizontal="center" vertical="center" wrapText="1"/>
    </xf>
    <xf numFmtId="49" fontId="1" fillId="3" borderId="8" xfId="0" applyFont="1" applyAlignment="1">
      <alignment horizontal="center" vertical="center" wrapText="1"/>
    </xf>
    <xf numFmtId="49" fontId="1" fillId="3" borderId="12" xfId="0" applyFont="1" applyBorder="1" applyAlignment="1">
      <alignment horizontal="center" vertical="center" wrapText="1"/>
    </xf>
    <xf numFmtId="49" fontId="1" fillId="3" borderId="8" xfId="0" applyFont="1" applyAlignment="1">
      <alignment horizontal="left" vertical="center" wrapText="1"/>
    </xf>
    <xf numFmtId="4" fontId="1" fillId="3" borderId="8" xfId="0" applyNumberFormat="1" applyFont="1" applyAlignment="1">
      <alignment horizontal="right" vertical="center" wrapText="1"/>
    </xf>
    <xf numFmtId="49" fontId="17" fillId="3" borderId="8" xfId="0" applyFont="1" applyAlignment="1">
      <alignment horizontal="left" vertical="center" wrapText="1"/>
    </xf>
    <xf numFmtId="4" fontId="17" fillId="3" borderId="8" xfId="0" applyNumberFormat="1" applyFont="1" applyAlignment="1">
      <alignment horizontal="right" vertical="center" wrapText="1"/>
    </xf>
    <xf numFmtId="49" fontId="1" fillId="3" borderId="13" xfId="0" applyFont="1" applyBorder="1" applyAlignment="1">
      <alignment horizontal="left" vertical="center" wrapText="1"/>
    </xf>
    <xf numFmtId="4" fontId="17" fillId="0" borderId="8" xfId="0" applyNumberFormat="1" applyFont="1" applyFill="1" applyAlignment="1">
      <alignment horizontal="right" vertical="center" wrapText="1"/>
    </xf>
    <xf numFmtId="49" fontId="17" fillId="3" borderId="9" xfId="0" applyFont="1" applyBorder="1" applyAlignment="1">
      <alignment horizontal="left" vertical="center" wrapText="1"/>
    </xf>
    <xf numFmtId="49" fontId="17" fillId="0" borderId="14" xfId="0" applyFont="1" applyFill="1" applyBorder="1" applyAlignment="1">
      <alignment horizontal="center" vertical="center" wrapText="1"/>
    </xf>
    <xf numFmtId="49" fontId="17" fillId="0" borderId="15" xfId="0" applyFont="1" applyFill="1" applyBorder="1" applyAlignment="1">
      <alignment horizontal="center" vertical="center" wrapText="1"/>
    </xf>
    <xf numFmtId="3" fontId="17" fillId="3" borderId="8" xfId="0" applyNumberFormat="1" applyFont="1" applyAlignment="1">
      <alignment horizontal="right" vertical="center" wrapText="1"/>
    </xf>
    <xf numFmtId="4" fontId="1" fillId="3" borderId="9" xfId="0" applyNumberFormat="1" applyFont="1" applyBorder="1" applyAlignment="1">
      <alignment horizontal="right" vertical="center" wrapText="1"/>
    </xf>
    <xf numFmtId="49" fontId="1" fillId="3" borderId="3" xfId="0" applyFont="1" applyBorder="1" applyAlignment="1">
      <alignment horizontal="center" vertical="center" wrapText="1"/>
    </xf>
    <xf numFmtId="3" fontId="1" fillId="3" borderId="8" xfId="0" applyNumberFormat="1" applyFont="1" applyAlignment="1">
      <alignment horizontal="right" vertical="center" wrapText="1"/>
    </xf>
    <xf numFmtId="49" fontId="1" fillId="3" borderId="11" xfId="0" applyFont="1" applyBorder="1" applyAlignment="1">
      <alignment horizontal="center" vertical="center" wrapText="1"/>
    </xf>
    <xf numFmtId="49" fontId="1" fillId="3" borderId="2" xfId="0" applyFont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3">
    <pageSetUpPr fitToPage="1"/>
  </sheetPr>
  <dimension ref="A1:V51"/>
  <sheetViews>
    <sheetView showGridLines="0" tabSelected="1" zoomScale="80" zoomScaleNormal="80" workbookViewId="0" topLeftCell="A34">
      <selection activeCell="G28" sqref="G28"/>
    </sheetView>
  </sheetViews>
  <sheetFormatPr defaultColWidth="9.33203125" defaultRowHeight="12.75"/>
  <cols>
    <col min="1" max="1" width="7.33203125" style="24" customWidth="1"/>
    <col min="2" max="2" width="59" style="1" customWidth="1"/>
    <col min="3" max="3" width="17.33203125" style="1" customWidth="1"/>
    <col min="4" max="4" width="17" style="1" customWidth="1"/>
    <col min="5" max="7" width="17.332031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4" width="14" style="1" customWidth="1"/>
    <col min="15" max="15" width="14.16015625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18.75" customHeight="1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" customHeight="1">
      <c r="A3" s="45"/>
      <c r="C3" s="38"/>
      <c r="E3" s="23"/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77" t="s">
        <v>0</v>
      </c>
      <c r="B4" s="82" t="s">
        <v>1</v>
      </c>
      <c r="C4" s="84" t="s">
        <v>10</v>
      </c>
      <c r="D4" s="86"/>
      <c r="E4" s="21" t="s">
        <v>9</v>
      </c>
      <c r="F4" s="82" t="s">
        <v>33</v>
      </c>
      <c r="G4" s="84" t="s">
        <v>11</v>
      </c>
      <c r="H4" s="85"/>
      <c r="I4" s="86"/>
      <c r="J4" s="84" t="s">
        <v>11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1:21" s="5" customFormat="1" ht="29.25" customHeight="1">
      <c r="A5" s="77"/>
      <c r="B5" s="83"/>
      <c r="C5" s="20">
        <v>2008</v>
      </c>
      <c r="D5" s="20">
        <v>2009</v>
      </c>
      <c r="E5" s="20" t="s">
        <v>32</v>
      </c>
      <c r="F5" s="87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 t="shared" si="0"/>
        <v>17482492.33</v>
      </c>
      <c r="F7" s="29">
        <f t="shared" si="0"/>
        <v>15069370.18</v>
      </c>
      <c r="G7" s="63">
        <f t="shared" si="0"/>
        <v>16363547.03</v>
      </c>
      <c r="H7" s="17">
        <f t="shared" si="0"/>
        <v>14970974</v>
      </c>
      <c r="I7" s="17">
        <f t="shared" si="0"/>
        <v>15495692</v>
      </c>
      <c r="J7" s="34">
        <f t="shared" si="0"/>
        <v>16491520</v>
      </c>
      <c r="K7" s="17">
        <f t="shared" si="0"/>
        <v>16064706</v>
      </c>
      <c r="L7" s="17">
        <f t="shared" si="0"/>
        <v>16626971</v>
      </c>
      <c r="M7" s="17">
        <f t="shared" si="0"/>
        <v>17192288</v>
      </c>
      <c r="N7" s="17">
        <f t="shared" si="0"/>
        <v>17759633</v>
      </c>
      <c r="O7" s="17">
        <f t="shared" si="0"/>
        <v>18327941</v>
      </c>
      <c r="P7" s="17">
        <f t="shared" si="0"/>
        <v>18896107</v>
      </c>
      <c r="Q7" s="17">
        <f t="shared" si="0"/>
        <v>19481887</v>
      </c>
      <c r="R7" s="17">
        <f t="shared" si="0"/>
        <v>20066343</v>
      </c>
      <c r="S7" s="17">
        <f t="shared" si="0"/>
        <v>20668334</v>
      </c>
      <c r="T7" s="17">
        <f t="shared" si="0"/>
        <v>21288384</v>
      </c>
      <c r="U7" s="17">
        <f t="shared" si="0"/>
        <v>21927035</v>
      </c>
    </row>
    <row r="8" spans="1:21" s="18" customFormat="1" ht="16.5" customHeight="1">
      <c r="A8" s="14" t="s">
        <v>16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13828861.12</v>
      </c>
      <c r="G8" s="33">
        <v>13994812.03</v>
      </c>
      <c r="H8" s="16">
        <v>14309022</v>
      </c>
      <c r="I8" s="16">
        <v>14895692</v>
      </c>
      <c r="J8" s="16">
        <v>15491520</v>
      </c>
      <c r="K8" s="16">
        <v>16064706</v>
      </c>
      <c r="L8" s="16">
        <v>16626971</v>
      </c>
      <c r="M8" s="16">
        <v>17192288</v>
      </c>
      <c r="N8" s="16">
        <v>17759633</v>
      </c>
      <c r="O8" s="16">
        <v>18327941</v>
      </c>
      <c r="P8" s="16">
        <v>18896107</v>
      </c>
      <c r="Q8" s="16">
        <v>19481887</v>
      </c>
      <c r="R8" s="16">
        <v>20066343</v>
      </c>
      <c r="S8" s="16">
        <v>20668334</v>
      </c>
      <c r="T8" s="16">
        <v>21288384</v>
      </c>
      <c r="U8" s="16">
        <v>21927035</v>
      </c>
    </row>
    <row r="9" spans="1:21" s="18" customFormat="1" ht="16.5" customHeight="1">
      <c r="A9" s="14" t="s">
        <v>17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1240509.06</v>
      </c>
      <c r="G9" s="33">
        <v>2368735</v>
      </c>
      <c r="H9" s="12">
        <f>500000+161952</f>
        <v>661952</v>
      </c>
      <c r="I9" s="12">
        <v>600000</v>
      </c>
      <c r="J9" s="16">
        <v>1000000</v>
      </c>
      <c r="K9" s="12">
        <f>K10</f>
        <v>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18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1027133.93</v>
      </c>
      <c r="G10" s="33">
        <f>943500+5000</f>
        <v>948500</v>
      </c>
      <c r="H10" s="16">
        <v>500000</v>
      </c>
      <c r="I10" s="16">
        <v>400000</v>
      </c>
      <c r="J10" s="16">
        <v>1000000</v>
      </c>
      <c r="K10" s="16"/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42" customHeight="1">
      <c r="A11" s="46" t="s">
        <v>5</v>
      </c>
      <c r="B11" s="31" t="s">
        <v>20</v>
      </c>
      <c r="C11" s="28">
        <v>11407802.09</v>
      </c>
      <c r="D11" s="28">
        <v>13016610.77</v>
      </c>
      <c r="E11" s="29">
        <v>13364948.33</v>
      </c>
      <c r="F11" s="29">
        <v>13459824.19</v>
      </c>
      <c r="G11" s="63">
        <f>13858063.86-2500-G24</f>
        <v>13487829.82</v>
      </c>
      <c r="H11" s="17">
        <v>13565474</v>
      </c>
      <c r="I11" s="17">
        <v>13904611</v>
      </c>
      <c r="J11" s="17">
        <v>14252226</v>
      </c>
      <c r="K11" s="17">
        <v>14808532</v>
      </c>
      <c r="L11" s="17">
        <f>15473745-100000</f>
        <v>15373745</v>
      </c>
      <c r="M11" s="17">
        <v>15948089</v>
      </c>
      <c r="N11" s="17">
        <v>16416443</v>
      </c>
      <c r="O11" s="17">
        <v>16893638</v>
      </c>
      <c r="P11" s="17">
        <v>17379885</v>
      </c>
      <c r="Q11" s="17">
        <v>17875402</v>
      </c>
      <c r="R11" s="17">
        <v>18280412</v>
      </c>
      <c r="S11" s="17">
        <v>18677861</v>
      </c>
      <c r="T11" s="17">
        <v>19084452</v>
      </c>
      <c r="U11" s="17">
        <v>19500395</v>
      </c>
    </row>
    <row r="12" spans="1:21" s="18" customFormat="1" ht="16.5" customHeight="1">
      <c r="A12" s="14" t="s">
        <v>21</v>
      </c>
      <c r="B12" s="15" t="s">
        <v>22</v>
      </c>
      <c r="C12" s="25">
        <v>4849073.63</v>
      </c>
      <c r="D12" s="25">
        <v>5301747.92</v>
      </c>
      <c r="E12" s="26">
        <v>5560197.04</v>
      </c>
      <c r="F12" s="26">
        <v>5578881.5</v>
      </c>
      <c r="G12" s="33">
        <v>5629820.33</v>
      </c>
      <c r="H12" s="30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6514412</v>
      </c>
      <c r="N12" s="16">
        <v>6792700</v>
      </c>
      <c r="O12" s="16">
        <v>6973554</v>
      </c>
      <c r="P12" s="16">
        <v>7207025</v>
      </c>
      <c r="Q12" s="16">
        <v>7343165</v>
      </c>
      <c r="R12" s="16">
        <v>7482029</v>
      </c>
      <c r="S12" s="16">
        <v>7523669</v>
      </c>
      <c r="T12" s="16">
        <v>7668143</v>
      </c>
      <c r="U12" s="16">
        <v>7715506</v>
      </c>
    </row>
    <row r="13" spans="1:21" s="18" customFormat="1" ht="15.75" customHeight="1">
      <c r="A13" s="14" t="s">
        <v>23</v>
      </c>
      <c r="B13" s="15" t="s">
        <v>27</v>
      </c>
      <c r="C13" s="25">
        <v>3109744.13</v>
      </c>
      <c r="D13" s="25">
        <v>3520029.23</v>
      </c>
      <c r="E13" s="26">
        <v>3823318.43</v>
      </c>
      <c r="F13" s="26">
        <v>3860216.79</v>
      </c>
      <c r="G13" s="33">
        <v>3573145.57</v>
      </c>
      <c r="H13" s="30">
        <v>3447776</v>
      </c>
      <c r="I13" s="16">
        <v>3516732</v>
      </c>
      <c r="J13" s="16">
        <v>3569483</v>
      </c>
      <c r="K13" s="16">
        <v>3823025</v>
      </c>
      <c r="L13" s="12">
        <v>4177370</v>
      </c>
      <c r="M13" s="16">
        <v>4232531</v>
      </c>
      <c r="N13" s="16">
        <v>4338519</v>
      </c>
      <c r="O13" s="16">
        <v>4445347</v>
      </c>
      <c r="P13" s="16">
        <v>4503027</v>
      </c>
      <c r="Q13" s="16">
        <v>4661573</v>
      </c>
      <c r="R13" s="16">
        <v>4820996</v>
      </c>
      <c r="S13" s="16">
        <v>4981311</v>
      </c>
      <c r="T13" s="16">
        <v>5124165</v>
      </c>
      <c r="U13" s="16">
        <v>5265406</v>
      </c>
    </row>
    <row r="14" spans="1:21" s="18" customFormat="1" ht="16.5" customHeight="1">
      <c r="A14" s="14" t="s">
        <v>24</v>
      </c>
      <c r="B14" s="15" t="s">
        <v>28</v>
      </c>
      <c r="C14" s="25"/>
      <c r="D14" s="25"/>
      <c r="E14" s="26"/>
      <c r="F14" s="26"/>
      <c r="G14" s="3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28.5" customHeight="1">
      <c r="A15" s="14" t="s">
        <v>25</v>
      </c>
      <c r="B15" s="15" t="s">
        <v>29</v>
      </c>
      <c r="C15" s="25"/>
      <c r="D15" s="25"/>
      <c r="E15" s="26"/>
      <c r="F15" s="26"/>
      <c r="G15" s="33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19.5" customHeight="1">
      <c r="A16" s="14" t="s">
        <v>26</v>
      </c>
      <c r="B16" s="15" t="s">
        <v>30</v>
      </c>
      <c r="C16" s="25"/>
      <c r="D16" s="25"/>
      <c r="E16" s="26"/>
      <c r="F16" s="26"/>
      <c r="G16" s="33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31</v>
      </c>
      <c r="C17" s="39">
        <f aca="true" t="shared" si="1" ref="C17:U17">C7-C11</f>
        <v>3168884.460000001</v>
      </c>
      <c r="D17" s="39">
        <f t="shared" si="1"/>
        <v>1188173.9499999993</v>
      </c>
      <c r="E17" s="39">
        <f t="shared" si="1"/>
        <v>4117543.999999998</v>
      </c>
      <c r="F17" s="39">
        <f t="shared" si="1"/>
        <v>1609545.9900000002</v>
      </c>
      <c r="G17" s="39">
        <f t="shared" si="1"/>
        <v>2875717.209999999</v>
      </c>
      <c r="H17" s="40">
        <f t="shared" si="1"/>
        <v>1405500</v>
      </c>
      <c r="I17" s="40">
        <f t="shared" si="1"/>
        <v>1591081</v>
      </c>
      <c r="J17" s="40">
        <f t="shared" si="1"/>
        <v>2239294</v>
      </c>
      <c r="K17" s="40">
        <f t="shared" si="1"/>
        <v>1256174</v>
      </c>
      <c r="L17" s="40">
        <f t="shared" si="1"/>
        <v>1253226</v>
      </c>
      <c r="M17" s="40">
        <f t="shared" si="1"/>
        <v>1244199</v>
      </c>
      <c r="N17" s="40">
        <f t="shared" si="1"/>
        <v>1343190</v>
      </c>
      <c r="O17" s="40">
        <f t="shared" si="1"/>
        <v>1434303</v>
      </c>
      <c r="P17" s="40">
        <f t="shared" si="1"/>
        <v>1516222</v>
      </c>
      <c r="Q17" s="40">
        <f t="shared" si="1"/>
        <v>1606485</v>
      </c>
      <c r="R17" s="40">
        <f t="shared" si="1"/>
        <v>1785931</v>
      </c>
      <c r="S17" s="40">
        <f t="shared" si="1"/>
        <v>1990473</v>
      </c>
      <c r="T17" s="40">
        <f t="shared" si="1"/>
        <v>2203932</v>
      </c>
      <c r="U17" s="41">
        <f t="shared" si="1"/>
        <v>2426640</v>
      </c>
    </row>
    <row r="18" spans="1:21" s="42" customFormat="1" ht="28.5" customHeight="1">
      <c r="A18" s="46">
        <v>4</v>
      </c>
      <c r="B18" s="31" t="s">
        <v>66</v>
      </c>
      <c r="C18" s="40">
        <v>51461</v>
      </c>
      <c r="D18" s="40">
        <v>2165749</v>
      </c>
      <c r="E18" s="40">
        <v>352300</v>
      </c>
      <c r="F18" s="39">
        <v>352317.15</v>
      </c>
      <c r="G18" s="39">
        <v>754960.83</v>
      </c>
      <c r="H18" s="40"/>
      <c r="I18" s="40">
        <f>H34</f>
        <v>25000</v>
      </c>
      <c r="J18" s="40">
        <f aca="true" t="shared" si="2" ref="J18:U18">I34</f>
        <v>217000</v>
      </c>
      <c r="K18" s="40">
        <f t="shared" si="2"/>
        <v>414000</v>
      </c>
      <c r="L18" s="40">
        <f t="shared" si="2"/>
        <v>319000</v>
      </c>
      <c r="M18" s="40">
        <f t="shared" si="2"/>
        <v>253000</v>
      </c>
      <c r="N18" s="40">
        <f t="shared" si="2"/>
        <v>179000</v>
      </c>
      <c r="O18" s="40">
        <f t="shared" si="2"/>
        <v>116000</v>
      </c>
      <c r="P18" s="40">
        <f t="shared" si="2"/>
        <v>56000</v>
      </c>
      <c r="Q18" s="40">
        <f t="shared" si="2"/>
        <v>29000</v>
      </c>
      <c r="R18" s="40">
        <f t="shared" si="2"/>
        <v>98000</v>
      </c>
      <c r="S18" s="40">
        <f t="shared" si="2"/>
        <v>160000</v>
      </c>
      <c r="T18" s="40">
        <f t="shared" si="2"/>
        <v>141000</v>
      </c>
      <c r="U18" s="41">
        <f t="shared" si="2"/>
        <v>49000</v>
      </c>
    </row>
    <row r="19" spans="1:21" s="18" customFormat="1" ht="42.75" customHeight="1">
      <c r="A19" s="14" t="s">
        <v>34</v>
      </c>
      <c r="B19" s="15" t="s">
        <v>35</v>
      </c>
      <c r="C19" s="11"/>
      <c r="D19" s="11">
        <v>1337429</v>
      </c>
      <c r="E19" s="44">
        <v>19460</v>
      </c>
      <c r="F19" s="26"/>
      <c r="G19" s="33">
        <v>59303.83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1" customHeight="1">
      <c r="A20" s="46">
        <v>5</v>
      </c>
      <c r="B20" s="31" t="s">
        <v>36</v>
      </c>
      <c r="C20" s="40">
        <v>0</v>
      </c>
      <c r="D20" s="40">
        <v>0</v>
      </c>
      <c r="E20" s="40">
        <v>0</v>
      </c>
      <c r="F20" s="40">
        <v>0</v>
      </c>
      <c r="G20" s="39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3" ref="L20:U20">L10-L14</f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  <c r="P20" s="40">
        <f t="shared" si="3"/>
        <v>0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1">
        <f t="shared" si="3"/>
        <v>0</v>
      </c>
    </row>
    <row r="21" spans="1:21" s="42" customFormat="1" ht="24" customHeight="1">
      <c r="A21" s="46">
        <v>6</v>
      </c>
      <c r="B21" s="31" t="s">
        <v>37</v>
      </c>
      <c r="C21" s="40">
        <f aca="true" t="shared" si="4" ref="C21:U21">C17+C18+C20</f>
        <v>3220345.460000001</v>
      </c>
      <c r="D21" s="40">
        <f t="shared" si="4"/>
        <v>3353922.9499999993</v>
      </c>
      <c r="E21" s="40">
        <f t="shared" si="4"/>
        <v>4469843.999999998</v>
      </c>
      <c r="F21" s="40">
        <f t="shared" si="4"/>
        <v>1961863.1400000001</v>
      </c>
      <c r="G21" s="39">
        <f t="shared" si="4"/>
        <v>3630678.039999999</v>
      </c>
      <c r="H21" s="40">
        <f t="shared" si="4"/>
        <v>1405500</v>
      </c>
      <c r="I21" s="40">
        <f t="shared" si="4"/>
        <v>1616081</v>
      </c>
      <c r="J21" s="40">
        <f t="shared" si="4"/>
        <v>2456294</v>
      </c>
      <c r="K21" s="40">
        <f t="shared" si="4"/>
        <v>1670174</v>
      </c>
      <c r="L21" s="40">
        <f t="shared" si="4"/>
        <v>1572226</v>
      </c>
      <c r="M21" s="40">
        <f t="shared" si="4"/>
        <v>1497199</v>
      </c>
      <c r="N21" s="40">
        <f t="shared" si="4"/>
        <v>1522190</v>
      </c>
      <c r="O21" s="40">
        <f t="shared" si="4"/>
        <v>1550303</v>
      </c>
      <c r="P21" s="40">
        <f t="shared" si="4"/>
        <v>1572222</v>
      </c>
      <c r="Q21" s="40">
        <f t="shared" si="4"/>
        <v>1635485</v>
      </c>
      <c r="R21" s="40">
        <f t="shared" si="4"/>
        <v>1883931</v>
      </c>
      <c r="S21" s="40">
        <f t="shared" si="4"/>
        <v>2150473</v>
      </c>
      <c r="T21" s="40">
        <f t="shared" si="4"/>
        <v>2344932</v>
      </c>
      <c r="U21" s="41">
        <f t="shared" si="4"/>
        <v>2475640</v>
      </c>
    </row>
    <row r="22" spans="1:22" s="5" customFormat="1" ht="18.75" customHeight="1">
      <c r="A22" s="46">
        <v>7</v>
      </c>
      <c r="B22" s="32" t="s">
        <v>42</v>
      </c>
      <c r="C22" s="28">
        <f aca="true" t="shared" si="5" ref="C22:U22">SUM(C23:C24)</f>
        <v>753703.66</v>
      </c>
      <c r="D22" s="28">
        <f t="shared" si="5"/>
        <v>1053403.73</v>
      </c>
      <c r="E22" s="28">
        <f t="shared" si="5"/>
        <v>1655165</v>
      </c>
      <c r="F22" s="43">
        <f t="shared" si="5"/>
        <v>1579393.18</v>
      </c>
      <c r="G22" s="28">
        <f t="shared" si="5"/>
        <v>2601336.04</v>
      </c>
      <c r="H22" s="43">
        <f t="shared" si="5"/>
        <v>1240500</v>
      </c>
      <c r="I22" s="43">
        <f t="shared" si="5"/>
        <v>1199081</v>
      </c>
      <c r="J22" s="43">
        <f t="shared" si="5"/>
        <v>1022294</v>
      </c>
      <c r="K22" s="43">
        <f t="shared" si="5"/>
        <v>1001174</v>
      </c>
      <c r="L22" s="43">
        <f t="shared" si="5"/>
        <v>789226</v>
      </c>
      <c r="M22" s="43">
        <f t="shared" si="5"/>
        <v>738199</v>
      </c>
      <c r="N22" s="43">
        <f t="shared" si="5"/>
        <v>706190</v>
      </c>
      <c r="O22" s="43">
        <f t="shared" si="5"/>
        <v>674303</v>
      </c>
      <c r="P22" s="43">
        <f t="shared" si="5"/>
        <v>643222</v>
      </c>
      <c r="Q22" s="43">
        <f t="shared" si="5"/>
        <v>337485</v>
      </c>
      <c r="R22" s="43">
        <f t="shared" si="5"/>
        <v>323931</v>
      </c>
      <c r="S22" s="43">
        <f t="shared" si="5"/>
        <v>309473</v>
      </c>
      <c r="T22" s="43">
        <f t="shared" si="5"/>
        <v>295932</v>
      </c>
      <c r="U22" s="34">
        <f t="shared" si="5"/>
        <v>280640</v>
      </c>
      <c r="V22" s="35"/>
    </row>
    <row r="23" spans="1:21" s="13" customFormat="1" ht="25.5">
      <c r="A23" s="14" t="s">
        <v>38</v>
      </c>
      <c r="B23" s="15" t="s">
        <v>40</v>
      </c>
      <c r="C23" s="25">
        <v>634740</v>
      </c>
      <c r="D23" s="25">
        <v>828320</v>
      </c>
      <c r="E23" s="26">
        <v>1332840</v>
      </c>
      <c r="F23" s="44">
        <v>1296200</v>
      </c>
      <c r="G23" s="33">
        <v>2233602</v>
      </c>
      <c r="H23" s="12">
        <v>895480</v>
      </c>
      <c r="I23" s="12">
        <v>895480</v>
      </c>
      <c r="J23" s="12">
        <v>758840</v>
      </c>
      <c r="K23" s="12">
        <v>783840</v>
      </c>
      <c r="L23" s="12">
        <v>600000</v>
      </c>
      <c r="M23" s="12">
        <v>550000</v>
      </c>
      <c r="N23" s="12">
        <v>550000</v>
      </c>
      <c r="O23" s="12">
        <v>550000</v>
      </c>
      <c r="P23" s="12">
        <v>550000</v>
      </c>
      <c r="Q23" s="12">
        <v>270000</v>
      </c>
      <c r="R23" s="12">
        <v>270000</v>
      </c>
      <c r="S23" s="12">
        <v>270000</v>
      </c>
      <c r="T23" s="12">
        <v>270000</v>
      </c>
      <c r="U23" s="12">
        <v>270000</v>
      </c>
    </row>
    <row r="24" spans="1:21" s="13" customFormat="1" ht="18.75" customHeight="1">
      <c r="A24" s="14" t="s">
        <v>39</v>
      </c>
      <c r="B24" s="15" t="s">
        <v>41</v>
      </c>
      <c r="C24" s="25">
        <v>118963.66</v>
      </c>
      <c r="D24" s="25">
        <v>225083.73</v>
      </c>
      <c r="E24" s="26">
        <v>322325</v>
      </c>
      <c r="F24" s="33">
        <v>283193.18</v>
      </c>
      <c r="G24" s="33">
        <f>364786-56700+54680+5000-32+0.04</f>
        <v>367734.04</v>
      </c>
      <c r="H24" s="16">
        <f>314483+31952+585-2000</f>
        <v>345020</v>
      </c>
      <c r="I24" s="16">
        <f>275292+29000+309-1000</f>
        <v>303601</v>
      </c>
      <c r="J24" s="16">
        <f>236101+27000+353</f>
        <v>263454</v>
      </c>
      <c r="K24" s="16">
        <f>191685+25000+649</f>
        <v>217334</v>
      </c>
      <c r="L24" s="12">
        <f>165674+23000+552</f>
        <v>189226</v>
      </c>
      <c r="M24" s="12">
        <f>168060+20000+139</f>
        <v>188199</v>
      </c>
      <c r="N24" s="12">
        <f>138140+18000+50</f>
        <v>156190</v>
      </c>
      <c r="O24" s="12">
        <f>108220+16000+83</f>
        <v>124303</v>
      </c>
      <c r="P24" s="12">
        <f>78300+14000+922</f>
        <v>93222</v>
      </c>
      <c r="Q24" s="12">
        <f>55130+12000+355</f>
        <v>67485</v>
      </c>
      <c r="R24" s="12">
        <f>43210+10000+721</f>
        <v>53931</v>
      </c>
      <c r="S24" s="12">
        <f>31290+8000+183</f>
        <v>39473</v>
      </c>
      <c r="T24" s="12">
        <f>19370+6000+562</f>
        <v>25932</v>
      </c>
      <c r="U24" s="12">
        <f>7450+3000+190</f>
        <v>10640</v>
      </c>
    </row>
    <row r="25" spans="1:22" s="5" customFormat="1" ht="25.5">
      <c r="A25" s="46">
        <v>8</v>
      </c>
      <c r="B25" s="32" t="s">
        <v>43</v>
      </c>
      <c r="C25" s="43">
        <v>0</v>
      </c>
      <c r="D25" s="43">
        <v>0</v>
      </c>
      <c r="E25" s="43">
        <v>0</v>
      </c>
      <c r="F25" s="43">
        <v>0</v>
      </c>
      <c r="G25" s="28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44</v>
      </c>
      <c r="C26" s="39">
        <f aca="true" t="shared" si="6" ref="C26:U26">C21-C22-C25</f>
        <v>2466641.8000000007</v>
      </c>
      <c r="D26" s="39">
        <f t="shared" si="6"/>
        <v>2300519.2199999993</v>
      </c>
      <c r="E26" s="39">
        <f t="shared" si="6"/>
        <v>2814678.999999998</v>
      </c>
      <c r="F26" s="39">
        <f t="shared" si="6"/>
        <v>382469.9600000002</v>
      </c>
      <c r="G26" s="39">
        <f t="shared" si="6"/>
        <v>1029341.9999999991</v>
      </c>
      <c r="H26" s="40">
        <f t="shared" si="6"/>
        <v>165000</v>
      </c>
      <c r="I26" s="40">
        <f t="shared" si="6"/>
        <v>417000</v>
      </c>
      <c r="J26" s="40">
        <f t="shared" si="6"/>
        <v>1434000</v>
      </c>
      <c r="K26" s="40">
        <f t="shared" si="6"/>
        <v>669000</v>
      </c>
      <c r="L26" s="40">
        <f t="shared" si="6"/>
        <v>783000</v>
      </c>
      <c r="M26" s="40">
        <f t="shared" si="6"/>
        <v>759000</v>
      </c>
      <c r="N26" s="40">
        <f t="shared" si="6"/>
        <v>816000</v>
      </c>
      <c r="O26" s="40">
        <f t="shared" si="6"/>
        <v>876000</v>
      </c>
      <c r="P26" s="40">
        <f t="shared" si="6"/>
        <v>929000</v>
      </c>
      <c r="Q26" s="40">
        <f t="shared" si="6"/>
        <v>1298000</v>
      </c>
      <c r="R26" s="40">
        <f t="shared" si="6"/>
        <v>1560000</v>
      </c>
      <c r="S26" s="40">
        <f t="shared" si="6"/>
        <v>1841000</v>
      </c>
      <c r="T26" s="40">
        <f t="shared" si="6"/>
        <v>2049000</v>
      </c>
      <c r="U26" s="41">
        <f t="shared" si="6"/>
        <v>2195000</v>
      </c>
    </row>
    <row r="27" spans="1:21" s="42" customFormat="1" ht="27" customHeight="1">
      <c r="A27" s="46">
        <v>10</v>
      </c>
      <c r="B27" s="31" t="s">
        <v>45</v>
      </c>
      <c r="C27" s="39">
        <v>2744481.58</v>
      </c>
      <c r="D27" s="39">
        <v>3373548.68</v>
      </c>
      <c r="E27" s="39">
        <v>7986279</v>
      </c>
      <c r="F27" s="39">
        <v>3820071.04</v>
      </c>
      <c r="G27" s="39">
        <f>2890242+2500</f>
        <v>2892742</v>
      </c>
      <c r="H27" s="40">
        <f>130000+8585-585+2000</f>
        <v>140000</v>
      </c>
      <c r="I27" s="40">
        <f>195309+1000-309+4000</f>
        <v>200000</v>
      </c>
      <c r="J27" s="40">
        <f>1019353-2000-353+3000</f>
        <v>1020000</v>
      </c>
      <c r="K27" s="40">
        <f>355649-649-5000</f>
        <v>350000</v>
      </c>
      <c r="L27" s="40">
        <f>537552-3000-552-4000</f>
        <v>530000</v>
      </c>
      <c r="M27" s="40">
        <f>576139-139+4000</f>
        <v>580000</v>
      </c>
      <c r="N27" s="40">
        <f>705050-50-5000</f>
        <v>700000</v>
      </c>
      <c r="O27" s="40">
        <f>826083-83-6000</f>
        <v>820000</v>
      </c>
      <c r="P27" s="40">
        <f>937922-922-37000</f>
        <v>900000</v>
      </c>
      <c r="Q27" s="40">
        <f>1251355-355-51000</f>
        <v>1200000</v>
      </c>
      <c r="R27" s="40">
        <f>1442721-721-42000</f>
        <v>1400000</v>
      </c>
      <c r="S27" s="40">
        <f>1759183-183-59000</f>
        <v>1700000</v>
      </c>
      <c r="T27" s="40">
        <f>1984562-562+16000</f>
        <v>2000000</v>
      </c>
      <c r="U27" s="41">
        <f>2219190-190-24000</f>
        <v>2195000</v>
      </c>
    </row>
    <row r="28" spans="1:21" s="13" customFormat="1" ht="21.75" customHeight="1">
      <c r="A28" s="14" t="s">
        <v>46</v>
      </c>
      <c r="B28" s="15" t="s">
        <v>47</v>
      </c>
      <c r="C28" s="25"/>
      <c r="D28" s="25"/>
      <c r="E28" s="26"/>
      <c r="F28" s="26"/>
      <c r="G28" s="33">
        <v>1803046</v>
      </c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1.75" customHeight="1">
      <c r="A29" s="46">
        <v>11</v>
      </c>
      <c r="B29" s="32" t="s">
        <v>48</v>
      </c>
      <c r="C29" s="28">
        <f aca="true" t="shared" si="7" ref="C29:U29">SUM(C30:C33)</f>
        <v>2000000</v>
      </c>
      <c r="D29" s="28">
        <f t="shared" si="7"/>
        <v>1585400</v>
      </c>
      <c r="E29" s="28">
        <f t="shared" si="7"/>
        <v>5191600</v>
      </c>
      <c r="F29" s="28">
        <f>SUM(F30:F33)</f>
        <v>4192561.91</v>
      </c>
      <c r="G29" s="28">
        <f>2618360.83-G18</f>
        <v>1863400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34">
        <f t="shared" si="7"/>
        <v>0</v>
      </c>
    </row>
    <row r="30" spans="1:21" s="13" customFormat="1" ht="18" customHeight="1" hidden="1">
      <c r="A30" s="14"/>
      <c r="B30" s="15" t="s">
        <v>2</v>
      </c>
      <c r="C30" s="25"/>
      <c r="D30" s="25">
        <v>85400</v>
      </c>
      <c r="E30" s="26">
        <v>91600</v>
      </c>
      <c r="F30" s="26"/>
      <c r="G30" s="33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 hidden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v>2300000</v>
      </c>
      <c r="G31" s="33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 hidden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33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 hidden="1">
      <c r="A33" s="14"/>
      <c r="B33" s="15" t="s">
        <v>14</v>
      </c>
      <c r="C33" s="27"/>
      <c r="D33" s="27"/>
      <c r="E33" s="26">
        <f>1620000</f>
        <v>1620000</v>
      </c>
      <c r="F33" s="26">
        <f>503119.91+1389442</f>
        <v>1892561.91</v>
      </c>
      <c r="G33" s="33">
        <f>153680+230558+467048</f>
        <v>851286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49</v>
      </c>
      <c r="C34" s="39">
        <f aca="true" t="shared" si="8" ref="C34:U34">C26-C27+C29</f>
        <v>1722160.2200000007</v>
      </c>
      <c r="D34" s="39">
        <f t="shared" si="8"/>
        <v>512370.5399999991</v>
      </c>
      <c r="E34" s="39">
        <f t="shared" si="8"/>
        <v>19999.999999998137</v>
      </c>
      <c r="F34" s="39">
        <f t="shared" si="8"/>
        <v>754960.8300000001</v>
      </c>
      <c r="G34" s="39">
        <f t="shared" si="8"/>
        <v>0</v>
      </c>
      <c r="H34" s="40">
        <f t="shared" si="8"/>
        <v>25000</v>
      </c>
      <c r="I34" s="40">
        <f t="shared" si="8"/>
        <v>217000</v>
      </c>
      <c r="J34" s="40">
        <f t="shared" si="8"/>
        <v>414000</v>
      </c>
      <c r="K34" s="40">
        <f t="shared" si="8"/>
        <v>319000</v>
      </c>
      <c r="L34" s="40">
        <f t="shared" si="8"/>
        <v>253000</v>
      </c>
      <c r="M34" s="40">
        <f t="shared" si="8"/>
        <v>179000</v>
      </c>
      <c r="N34" s="40">
        <f t="shared" si="8"/>
        <v>116000</v>
      </c>
      <c r="O34" s="40">
        <f t="shared" si="8"/>
        <v>56000</v>
      </c>
      <c r="P34" s="40">
        <f t="shared" si="8"/>
        <v>29000</v>
      </c>
      <c r="Q34" s="40">
        <f t="shared" si="8"/>
        <v>98000</v>
      </c>
      <c r="R34" s="40">
        <f t="shared" si="8"/>
        <v>160000</v>
      </c>
      <c r="S34" s="40">
        <f t="shared" si="8"/>
        <v>141000</v>
      </c>
      <c r="T34" s="40">
        <f t="shared" si="8"/>
        <v>49000</v>
      </c>
      <c r="U34" s="41">
        <f t="shared" si="8"/>
        <v>0</v>
      </c>
    </row>
    <row r="35" spans="1:22" s="5" customFormat="1" ht="18.75" customHeight="1">
      <c r="A35" s="46">
        <v>13</v>
      </c>
      <c r="B35" s="32" t="s">
        <v>52</v>
      </c>
      <c r="C35" s="28">
        <v>4200400</v>
      </c>
      <c r="D35" s="28">
        <v>4957480</v>
      </c>
      <c r="E35" s="28">
        <f>D35+E29-E23</f>
        <v>8816240</v>
      </c>
      <c r="F35" s="28">
        <f>D35+F29-F23</f>
        <v>7853841.91</v>
      </c>
      <c r="G35" s="28">
        <f>F35+G29-G23</f>
        <v>7483639.91</v>
      </c>
      <c r="H35" s="43">
        <f aca="true" t="shared" si="9" ref="H35:U35">G35-H23</f>
        <v>6588159.91</v>
      </c>
      <c r="I35" s="43">
        <f t="shared" si="9"/>
        <v>5692679.91</v>
      </c>
      <c r="J35" s="43">
        <f t="shared" si="9"/>
        <v>4933839.91</v>
      </c>
      <c r="K35" s="43">
        <f t="shared" si="9"/>
        <v>4149999.91</v>
      </c>
      <c r="L35" s="43">
        <f t="shared" si="9"/>
        <v>3549999.91</v>
      </c>
      <c r="M35" s="43">
        <f t="shared" si="9"/>
        <v>2999999.91</v>
      </c>
      <c r="N35" s="43">
        <f t="shared" si="9"/>
        <v>2449999.91</v>
      </c>
      <c r="O35" s="43">
        <f t="shared" si="9"/>
        <v>1899999.9100000001</v>
      </c>
      <c r="P35" s="43">
        <f t="shared" si="9"/>
        <v>1349999.9100000001</v>
      </c>
      <c r="Q35" s="43">
        <f t="shared" si="9"/>
        <v>1079999.9100000001</v>
      </c>
      <c r="R35" s="43">
        <f t="shared" si="9"/>
        <v>809999.9100000001</v>
      </c>
      <c r="S35" s="43">
        <f t="shared" si="9"/>
        <v>539999.9100000001</v>
      </c>
      <c r="T35" s="43">
        <f t="shared" si="9"/>
        <v>269999.91000000015</v>
      </c>
      <c r="U35" s="34">
        <f t="shared" si="9"/>
        <v>-0.08999999985098839</v>
      </c>
      <c r="V35" s="35"/>
    </row>
    <row r="36" spans="1:21" s="13" customFormat="1" ht="25.5">
      <c r="A36" s="14" t="s">
        <v>50</v>
      </c>
      <c r="B36" s="15" t="s">
        <v>53</v>
      </c>
      <c r="C36" s="25"/>
      <c r="D36" s="25"/>
      <c r="E36" s="26">
        <v>1620000</v>
      </c>
      <c r="F36" s="26">
        <f>F33</f>
        <v>1892561.91</v>
      </c>
      <c r="G36" s="33"/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0" customHeight="1">
      <c r="A37" s="14" t="s">
        <v>51</v>
      </c>
      <c r="B37" s="15" t="s">
        <v>54</v>
      </c>
      <c r="C37" s="25"/>
      <c r="D37" s="25"/>
      <c r="E37" s="26">
        <v>12730</v>
      </c>
      <c r="F37" s="26">
        <v>2401.61</v>
      </c>
      <c r="G37" s="33">
        <f>56700+1123848</f>
        <v>1180548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51" customHeight="1">
      <c r="A38" s="46">
        <v>14</v>
      </c>
      <c r="B38" s="31" t="s">
        <v>73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79" t="s">
        <v>15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</row>
    <row r="40" spans="1:21" s="55" customFormat="1" ht="18.75" customHeight="1">
      <c r="A40" s="46">
        <v>15</v>
      </c>
      <c r="B40" s="48" t="s">
        <v>55</v>
      </c>
      <c r="C40" s="53">
        <f aca="true" t="shared" si="10" ref="C40:U40">(C22+C25)/C7</f>
        <v>0.05170610326391357</v>
      </c>
      <c r="D40" s="53">
        <f t="shared" si="10"/>
        <v>0.07415837344700005</v>
      </c>
      <c r="E40" s="53">
        <f t="shared" si="10"/>
        <v>0.09467557421202084</v>
      </c>
      <c r="F40" s="53">
        <f t="shared" si="10"/>
        <v>0.10480817453778947</v>
      </c>
      <c r="G40" s="53">
        <f>(G22+G25)/G7</f>
        <v>0.15897140364682902</v>
      </c>
      <c r="H40" s="53">
        <f t="shared" si="10"/>
        <v>0.08286034028246926</v>
      </c>
      <c r="I40" s="53">
        <f t="shared" si="10"/>
        <v>0.07738157160067456</v>
      </c>
      <c r="J40" s="53">
        <f t="shared" si="10"/>
        <v>0.061989070746662524</v>
      </c>
      <c r="K40" s="53">
        <f t="shared" si="10"/>
        <v>0.06232133971203706</v>
      </c>
      <c r="L40" s="53">
        <f t="shared" si="10"/>
        <v>0.047466613131159005</v>
      </c>
      <c r="M40" s="53">
        <f t="shared" si="10"/>
        <v>0.04293779862226598</v>
      </c>
      <c r="N40" s="53">
        <f t="shared" si="10"/>
        <v>0.03976377214551675</v>
      </c>
      <c r="O40" s="53">
        <f t="shared" si="10"/>
        <v>0.03679098486840393</v>
      </c>
      <c r="P40" s="53">
        <f t="shared" si="10"/>
        <v>0.03403992155632904</v>
      </c>
      <c r="Q40" s="53">
        <f t="shared" si="10"/>
        <v>0.017323013935970372</v>
      </c>
      <c r="R40" s="53">
        <f t="shared" si="10"/>
        <v>0.01614300124342537</v>
      </c>
      <c r="S40" s="53">
        <f t="shared" si="10"/>
        <v>0.014973291993442722</v>
      </c>
      <c r="T40" s="53">
        <f t="shared" si="10"/>
        <v>0.013901102122171416</v>
      </c>
      <c r="U40" s="54">
        <f t="shared" si="10"/>
        <v>0.012798812060089291</v>
      </c>
    </row>
    <row r="41" spans="1:21" s="58" customFormat="1" ht="21" customHeight="1">
      <c r="A41" s="56" t="s">
        <v>56</v>
      </c>
      <c r="B41" s="57" t="s">
        <v>57</v>
      </c>
      <c r="C41" s="61">
        <v>0</v>
      </c>
      <c r="D41" s="61">
        <v>0</v>
      </c>
      <c r="E41" s="61">
        <v>0</v>
      </c>
      <c r="F41" s="61">
        <v>0</v>
      </c>
      <c r="G41" s="61">
        <f>(C43+D43+E43)/3</f>
        <v>0.07693168405436229</v>
      </c>
      <c r="H41" s="61">
        <f>(D43+E43+G43)/3</f>
        <v>0.05251042426591037</v>
      </c>
      <c r="I41" s="61">
        <f>(E43+G43+H43)/3</f>
        <v>0.06209389456887523</v>
      </c>
      <c r="J41" s="61">
        <f aca="true" t="shared" si="11" ref="J41:U41">(G43+H43+I43)/3</f>
        <v>0.06555712435345552</v>
      </c>
      <c r="K41" s="61">
        <f t="shared" si="11"/>
        <v>0.08333565482305104</v>
      </c>
      <c r="L41" s="61">
        <f t="shared" si="11"/>
        <v>0.08488498054780336</v>
      </c>
      <c r="M41" s="61">
        <f t="shared" si="11"/>
        <v>0.08282261651968541</v>
      </c>
      <c r="N41" s="61">
        <f t="shared" si="11"/>
        <v>0.06336042837326293</v>
      </c>
      <c r="O41" s="61">
        <f t="shared" si="11"/>
        <v>0.06408408972312339</v>
      </c>
      <c r="P41" s="61">
        <f t="shared" si="11"/>
        <v>0.06657847474915872</v>
      </c>
      <c r="Q41" s="61">
        <f t="shared" si="11"/>
        <v>0.07120635064686208</v>
      </c>
      <c r="R41" s="61">
        <f t="shared" si="11"/>
        <v>0.0752595132365934</v>
      </c>
      <c r="S41" s="61">
        <f t="shared" si="11"/>
        <v>0.08020555196750048</v>
      </c>
      <c r="T41" s="61">
        <f t="shared" si="11"/>
        <v>0.08656858309167907</v>
      </c>
      <c r="U41" s="62">
        <f t="shared" si="11"/>
        <v>0.0943395368339061</v>
      </c>
    </row>
    <row r="42" spans="1:21" s="58" customFormat="1" ht="25.5">
      <c r="A42" s="56" t="s">
        <v>68</v>
      </c>
      <c r="B42" s="57" t="s">
        <v>70</v>
      </c>
      <c r="C42" s="61">
        <f>(C22+C14+C38)/C7</f>
        <v>0.05170610326391357</v>
      </c>
      <c r="D42" s="61">
        <f aca="true" t="shared" si="12" ref="D42:U42">(D22+D14+D38)/D7</f>
        <v>0.07415837344700005</v>
      </c>
      <c r="E42" s="61">
        <f t="shared" si="12"/>
        <v>0.09467557421202084</v>
      </c>
      <c r="F42" s="61">
        <f t="shared" si="12"/>
        <v>0.10480817453778947</v>
      </c>
      <c r="G42" s="61">
        <f t="shared" si="12"/>
        <v>0.15897140364682902</v>
      </c>
      <c r="H42" s="61">
        <f t="shared" si="12"/>
        <v>0.08286034028246926</v>
      </c>
      <c r="I42" s="61">
        <f t="shared" si="12"/>
        <v>0.07738157160067456</v>
      </c>
      <c r="J42" s="61">
        <f t="shared" si="12"/>
        <v>0.061989070746662524</v>
      </c>
      <c r="K42" s="61">
        <f t="shared" si="12"/>
        <v>0.06232133971203706</v>
      </c>
      <c r="L42" s="61">
        <f t="shared" si="12"/>
        <v>0.047466613131159005</v>
      </c>
      <c r="M42" s="61">
        <f t="shared" si="12"/>
        <v>0.04293779862226598</v>
      </c>
      <c r="N42" s="61">
        <f t="shared" si="12"/>
        <v>0.03976377214551675</v>
      </c>
      <c r="O42" s="61">
        <f t="shared" si="12"/>
        <v>0.03679098486840393</v>
      </c>
      <c r="P42" s="61">
        <f t="shared" si="12"/>
        <v>0.03403992155632904</v>
      </c>
      <c r="Q42" s="61">
        <f t="shared" si="12"/>
        <v>0.017323013935970372</v>
      </c>
      <c r="R42" s="61">
        <f t="shared" si="12"/>
        <v>0.01614300124342537</v>
      </c>
      <c r="S42" s="61">
        <f t="shared" si="12"/>
        <v>0.014973291993442722</v>
      </c>
      <c r="T42" s="61">
        <f t="shared" si="12"/>
        <v>0.013901102122171416</v>
      </c>
      <c r="U42" s="62">
        <f t="shared" si="12"/>
        <v>0.012798812060089291</v>
      </c>
    </row>
    <row r="43" spans="1:21" s="58" customFormat="1" ht="25.5">
      <c r="A43" s="56" t="s">
        <v>69</v>
      </c>
      <c r="B43" s="57" t="s">
        <v>71</v>
      </c>
      <c r="C43" s="61">
        <f>(C8-C47+C10)/C7</f>
        <v>0.1397376415424121</v>
      </c>
      <c r="D43" s="61">
        <f aca="true" t="shared" si="13" ref="D43:U43">(D8-D47+D10)/D7</f>
        <v>0.03126759459963148</v>
      </c>
      <c r="E43" s="61">
        <f t="shared" si="13"/>
        <v>0.059789816021043274</v>
      </c>
      <c r="F43" s="61">
        <f t="shared" si="13"/>
        <v>0.0738569473511998</v>
      </c>
      <c r="G43" s="61">
        <f t="shared" si="13"/>
        <v>0.06647386217705636</v>
      </c>
      <c r="H43" s="61">
        <f t="shared" si="13"/>
        <v>0.06001800550852603</v>
      </c>
      <c r="I43" s="61">
        <f t="shared" si="13"/>
        <v>0.07017950537478417</v>
      </c>
      <c r="J43" s="61">
        <f t="shared" si="13"/>
        <v>0.11980945358584291</v>
      </c>
      <c r="K43" s="61">
        <f t="shared" si="13"/>
        <v>0.064665982682783</v>
      </c>
      <c r="L43" s="61">
        <f t="shared" si="13"/>
        <v>0.06399241329043034</v>
      </c>
      <c r="M43" s="61">
        <f t="shared" si="13"/>
        <v>0.06142288914657549</v>
      </c>
      <c r="N43" s="61">
        <f t="shared" si="13"/>
        <v>0.06683696673236435</v>
      </c>
      <c r="O43" s="61">
        <f t="shared" si="13"/>
        <v>0.07147556836853633</v>
      </c>
      <c r="P43" s="61">
        <f t="shared" si="13"/>
        <v>0.07530651683968555</v>
      </c>
      <c r="Q43" s="61">
        <f t="shared" si="13"/>
        <v>0.07899645450155829</v>
      </c>
      <c r="R43" s="61">
        <f t="shared" si="13"/>
        <v>0.08631368456125763</v>
      </c>
      <c r="S43" s="61">
        <f t="shared" si="13"/>
        <v>0.09439561021222126</v>
      </c>
      <c r="T43" s="61">
        <f t="shared" si="13"/>
        <v>0.1023093157282394</v>
      </c>
      <c r="U43" s="62">
        <f t="shared" si="13"/>
        <v>0.1101836157966638</v>
      </c>
    </row>
    <row r="44" spans="1:21" s="52" customFormat="1" ht="25.5">
      <c r="A44" s="50">
        <v>16</v>
      </c>
      <c r="B44" s="51" t="s">
        <v>72</v>
      </c>
      <c r="C44" s="59" t="s">
        <v>58</v>
      </c>
      <c r="D44" s="59" t="s">
        <v>58</v>
      </c>
      <c r="E44" s="59" t="s">
        <v>58</v>
      </c>
      <c r="F44" s="59" t="s">
        <v>58</v>
      </c>
      <c r="G44" s="59" t="s">
        <v>67</v>
      </c>
      <c r="H44" s="59" t="s">
        <v>67</v>
      </c>
      <c r="I44" s="59" t="s">
        <v>67</v>
      </c>
      <c r="J44" s="59" t="s">
        <v>58</v>
      </c>
      <c r="K44" s="59" t="s">
        <v>58</v>
      </c>
      <c r="L44" s="59" t="s">
        <v>58</v>
      </c>
      <c r="M44" s="59" t="s">
        <v>58</v>
      </c>
      <c r="N44" s="59" t="s">
        <v>58</v>
      </c>
      <c r="O44" s="59" t="s">
        <v>58</v>
      </c>
      <c r="P44" s="59" t="s">
        <v>58</v>
      </c>
      <c r="Q44" s="59" t="s">
        <v>58</v>
      </c>
      <c r="R44" s="59" t="s">
        <v>58</v>
      </c>
      <c r="S44" s="59" t="s">
        <v>58</v>
      </c>
      <c r="T44" s="59" t="s">
        <v>58</v>
      </c>
      <c r="U44" s="60" t="s">
        <v>58</v>
      </c>
    </row>
    <row r="45" spans="1:21" s="55" customFormat="1" ht="25.5">
      <c r="A45" s="46">
        <v>17</v>
      </c>
      <c r="B45" s="48" t="s">
        <v>59</v>
      </c>
      <c r="C45" s="53">
        <f>(C23+C14+C24-C15-C37)/C7</f>
        <v>0.05170610326391357</v>
      </c>
      <c r="D45" s="53">
        <f aca="true" t="shared" si="14" ref="D45:U45">(D23+D14+D24-D15-D37)/D7</f>
        <v>0.07415837344700005</v>
      </c>
      <c r="E45" s="53">
        <f t="shared" si="14"/>
        <v>0.09394741716440382</v>
      </c>
      <c r="F45" s="53">
        <f t="shared" si="14"/>
        <v>0.1046488042408684</v>
      </c>
      <c r="G45" s="53">
        <f t="shared" si="14"/>
        <v>0.08682640978726726</v>
      </c>
      <c r="H45" s="53">
        <f t="shared" si="14"/>
        <v>0.08286034028246926</v>
      </c>
      <c r="I45" s="53">
        <f t="shared" si="14"/>
        <v>0.07738157160067456</v>
      </c>
      <c r="J45" s="53">
        <f t="shared" si="14"/>
        <v>0.061989070746662524</v>
      </c>
      <c r="K45" s="53">
        <f t="shared" si="14"/>
        <v>0.06232133971203706</v>
      </c>
      <c r="L45" s="53">
        <f t="shared" si="14"/>
        <v>0.047466613131159005</v>
      </c>
      <c r="M45" s="53">
        <f t="shared" si="14"/>
        <v>0.04293779862226598</v>
      </c>
      <c r="N45" s="53">
        <f t="shared" si="14"/>
        <v>0.03976377214551675</v>
      </c>
      <c r="O45" s="53">
        <f t="shared" si="14"/>
        <v>0.03679098486840393</v>
      </c>
      <c r="P45" s="53">
        <f t="shared" si="14"/>
        <v>0.03403992155632904</v>
      </c>
      <c r="Q45" s="53">
        <f t="shared" si="14"/>
        <v>0.017323013935970372</v>
      </c>
      <c r="R45" s="53">
        <f t="shared" si="14"/>
        <v>0.01614300124342537</v>
      </c>
      <c r="S45" s="53">
        <f t="shared" si="14"/>
        <v>0.014973291993442722</v>
      </c>
      <c r="T45" s="53">
        <f t="shared" si="14"/>
        <v>0.013901102122171416</v>
      </c>
      <c r="U45" s="54">
        <f t="shared" si="14"/>
        <v>0.012798812060089291</v>
      </c>
    </row>
    <row r="46" spans="1:21" s="52" customFormat="1" ht="27" customHeight="1">
      <c r="A46" s="50">
        <v>18</v>
      </c>
      <c r="B46" s="51" t="s">
        <v>60</v>
      </c>
      <c r="C46" s="36">
        <f aca="true" t="shared" si="15" ref="C46:U46">(C35-C36)/C7</f>
        <v>0.2881587654088645</v>
      </c>
      <c r="D46" s="36">
        <f t="shared" si="15"/>
        <v>0.3490007133314725</v>
      </c>
      <c r="E46" s="36">
        <f t="shared" si="15"/>
        <v>0.41162552021551496</v>
      </c>
      <c r="F46" s="36">
        <f t="shared" si="15"/>
        <v>0.3955891937615139</v>
      </c>
      <c r="G46" s="36">
        <f t="shared" si="15"/>
        <v>0.4573360467800727</v>
      </c>
      <c r="H46" s="36">
        <f t="shared" si="15"/>
        <v>0.44006221038123505</v>
      </c>
      <c r="I46" s="36">
        <f t="shared" si="15"/>
        <v>0.36737177726557807</v>
      </c>
      <c r="J46" s="36">
        <f t="shared" si="15"/>
        <v>0.29917435809434184</v>
      </c>
      <c r="K46" s="36">
        <f t="shared" si="15"/>
        <v>0.25833027445382445</v>
      </c>
      <c r="L46" s="36">
        <f t="shared" si="15"/>
        <v>0.21350851637378812</v>
      </c>
      <c r="M46" s="36">
        <f t="shared" si="15"/>
        <v>0.1744968389315023</v>
      </c>
      <c r="N46" s="36">
        <f t="shared" si="15"/>
        <v>0.13795329610696347</v>
      </c>
      <c r="O46" s="36">
        <f t="shared" si="15"/>
        <v>0.10366684997512815</v>
      </c>
      <c r="P46" s="36">
        <f t="shared" si="15"/>
        <v>0.07144328247082853</v>
      </c>
      <c r="Q46" s="36">
        <f t="shared" si="15"/>
        <v>0.05543610380247048</v>
      </c>
      <c r="R46" s="36">
        <f t="shared" si="15"/>
        <v>0.040366095107613784</v>
      </c>
      <c r="S46" s="36">
        <f t="shared" si="15"/>
        <v>0.02612692005074043</v>
      </c>
      <c r="T46" s="36">
        <f t="shared" si="15"/>
        <v>0.012682968796504242</v>
      </c>
      <c r="U46" s="37">
        <f t="shared" si="15"/>
        <v>-4.104522104834894E-09</v>
      </c>
    </row>
    <row r="47" spans="1:21" s="42" customFormat="1" ht="24" customHeight="1">
      <c r="A47" s="46">
        <v>19</v>
      </c>
      <c r="B47" s="31" t="s">
        <v>61</v>
      </c>
      <c r="C47" s="39">
        <f aca="true" t="shared" si="16" ref="C47:U47">C11+C24</f>
        <v>11526765.75</v>
      </c>
      <c r="D47" s="39">
        <f t="shared" si="16"/>
        <v>13241694.5</v>
      </c>
      <c r="E47" s="39">
        <f t="shared" si="16"/>
        <v>13687273.33</v>
      </c>
      <c r="F47" s="39">
        <f t="shared" si="16"/>
        <v>13743017.37</v>
      </c>
      <c r="G47" s="39">
        <f t="shared" si="16"/>
        <v>13855563.86</v>
      </c>
      <c r="H47" s="40">
        <f t="shared" si="16"/>
        <v>13910494</v>
      </c>
      <c r="I47" s="40">
        <f t="shared" si="16"/>
        <v>14208212</v>
      </c>
      <c r="J47" s="40">
        <f t="shared" si="16"/>
        <v>14515680</v>
      </c>
      <c r="K47" s="40">
        <f t="shared" si="16"/>
        <v>15025866</v>
      </c>
      <c r="L47" s="40">
        <f t="shared" si="16"/>
        <v>15562971</v>
      </c>
      <c r="M47" s="40">
        <f t="shared" si="16"/>
        <v>16136288</v>
      </c>
      <c r="N47" s="40">
        <f t="shared" si="16"/>
        <v>16572633</v>
      </c>
      <c r="O47" s="40">
        <f t="shared" si="16"/>
        <v>17017941</v>
      </c>
      <c r="P47" s="40">
        <f t="shared" si="16"/>
        <v>17473107</v>
      </c>
      <c r="Q47" s="40">
        <f t="shared" si="16"/>
        <v>17942887</v>
      </c>
      <c r="R47" s="40">
        <f t="shared" si="16"/>
        <v>18334343</v>
      </c>
      <c r="S47" s="40">
        <f t="shared" si="16"/>
        <v>18717334</v>
      </c>
      <c r="T47" s="40">
        <f t="shared" si="16"/>
        <v>19110384</v>
      </c>
      <c r="U47" s="41">
        <f t="shared" si="16"/>
        <v>19511035</v>
      </c>
    </row>
    <row r="48" spans="1:21" s="42" customFormat="1" ht="24" customHeight="1">
      <c r="A48" s="46">
        <v>20</v>
      </c>
      <c r="B48" s="31" t="s">
        <v>62</v>
      </c>
      <c r="C48" s="39">
        <f aca="true" t="shared" si="17" ref="C48:U48">C47+C27</f>
        <v>14271247.33</v>
      </c>
      <c r="D48" s="39">
        <f t="shared" si="17"/>
        <v>16615243.18</v>
      </c>
      <c r="E48" s="39">
        <f t="shared" si="17"/>
        <v>21673552.33</v>
      </c>
      <c r="F48" s="39">
        <f t="shared" si="17"/>
        <v>17563088.41</v>
      </c>
      <c r="G48" s="39">
        <f t="shared" si="17"/>
        <v>16748305.86</v>
      </c>
      <c r="H48" s="40">
        <f t="shared" si="17"/>
        <v>14050494</v>
      </c>
      <c r="I48" s="40">
        <f t="shared" si="17"/>
        <v>14408212</v>
      </c>
      <c r="J48" s="40">
        <f t="shared" si="17"/>
        <v>15535680</v>
      </c>
      <c r="K48" s="40">
        <f t="shared" si="17"/>
        <v>15375866</v>
      </c>
      <c r="L48" s="40">
        <f t="shared" si="17"/>
        <v>16092971</v>
      </c>
      <c r="M48" s="40">
        <f t="shared" si="17"/>
        <v>16716288</v>
      </c>
      <c r="N48" s="40">
        <f t="shared" si="17"/>
        <v>17272633</v>
      </c>
      <c r="O48" s="40">
        <f t="shared" si="17"/>
        <v>17837941</v>
      </c>
      <c r="P48" s="40">
        <f t="shared" si="17"/>
        <v>18373107</v>
      </c>
      <c r="Q48" s="40">
        <f t="shared" si="17"/>
        <v>19142887</v>
      </c>
      <c r="R48" s="40">
        <f t="shared" si="17"/>
        <v>19734343</v>
      </c>
      <c r="S48" s="40">
        <f t="shared" si="17"/>
        <v>20417334</v>
      </c>
      <c r="T48" s="40">
        <f t="shared" si="17"/>
        <v>21110384</v>
      </c>
      <c r="U48" s="41">
        <f t="shared" si="17"/>
        <v>21706035</v>
      </c>
    </row>
    <row r="49" spans="1:21" s="42" customFormat="1" ht="24" customHeight="1">
      <c r="A49" s="46">
        <v>21</v>
      </c>
      <c r="B49" s="31" t="s">
        <v>63</v>
      </c>
      <c r="C49" s="39">
        <f aca="true" t="shared" si="18" ref="C49:U49">C7-C48</f>
        <v>305439.22000000067</v>
      </c>
      <c r="D49" s="39">
        <f t="shared" si="18"/>
        <v>-2410458.460000001</v>
      </c>
      <c r="E49" s="39">
        <f t="shared" si="18"/>
        <v>-4191060</v>
      </c>
      <c r="F49" s="39">
        <f t="shared" si="18"/>
        <v>-2493718.2300000004</v>
      </c>
      <c r="G49" s="39">
        <f t="shared" si="18"/>
        <v>-384758.8300000001</v>
      </c>
      <c r="H49" s="40">
        <f t="shared" si="18"/>
        <v>920480</v>
      </c>
      <c r="I49" s="40">
        <f t="shared" si="18"/>
        <v>1087480</v>
      </c>
      <c r="J49" s="40">
        <f t="shared" si="18"/>
        <v>955840</v>
      </c>
      <c r="K49" s="40">
        <f t="shared" si="18"/>
        <v>688840</v>
      </c>
      <c r="L49" s="40">
        <f t="shared" si="18"/>
        <v>534000</v>
      </c>
      <c r="M49" s="40">
        <f t="shared" si="18"/>
        <v>476000</v>
      </c>
      <c r="N49" s="40">
        <f t="shared" si="18"/>
        <v>487000</v>
      </c>
      <c r="O49" s="40">
        <f t="shared" si="18"/>
        <v>490000</v>
      </c>
      <c r="P49" s="40">
        <f t="shared" si="18"/>
        <v>523000</v>
      </c>
      <c r="Q49" s="40">
        <f t="shared" si="18"/>
        <v>339000</v>
      </c>
      <c r="R49" s="40">
        <f t="shared" si="18"/>
        <v>332000</v>
      </c>
      <c r="S49" s="40">
        <f t="shared" si="18"/>
        <v>251000</v>
      </c>
      <c r="T49" s="40">
        <f t="shared" si="18"/>
        <v>178000</v>
      </c>
      <c r="U49" s="41">
        <f t="shared" si="18"/>
        <v>221000</v>
      </c>
    </row>
    <row r="50" spans="1:21" s="42" customFormat="1" ht="24" customHeight="1">
      <c r="A50" s="46">
        <v>22</v>
      </c>
      <c r="B50" s="31" t="s">
        <v>64</v>
      </c>
      <c r="C50" s="39">
        <f aca="true" t="shared" si="19" ref="C50:U50">C18+C20+C29</f>
        <v>2051461</v>
      </c>
      <c r="D50" s="39">
        <f t="shared" si="19"/>
        <v>3751149</v>
      </c>
      <c r="E50" s="39">
        <f t="shared" si="19"/>
        <v>5543900</v>
      </c>
      <c r="F50" s="39">
        <f t="shared" si="19"/>
        <v>4544879.0600000005</v>
      </c>
      <c r="G50" s="39">
        <f t="shared" si="19"/>
        <v>2618360.83</v>
      </c>
      <c r="H50" s="40">
        <f t="shared" si="19"/>
        <v>0</v>
      </c>
      <c r="I50" s="40">
        <f t="shared" si="19"/>
        <v>25000</v>
      </c>
      <c r="J50" s="40">
        <f t="shared" si="19"/>
        <v>217000</v>
      </c>
      <c r="K50" s="40">
        <f t="shared" si="19"/>
        <v>414000</v>
      </c>
      <c r="L50" s="40">
        <f t="shared" si="19"/>
        <v>319000</v>
      </c>
      <c r="M50" s="40">
        <f t="shared" si="19"/>
        <v>253000</v>
      </c>
      <c r="N50" s="40">
        <f t="shared" si="19"/>
        <v>179000</v>
      </c>
      <c r="O50" s="40">
        <f t="shared" si="19"/>
        <v>116000</v>
      </c>
      <c r="P50" s="40">
        <f t="shared" si="19"/>
        <v>56000</v>
      </c>
      <c r="Q50" s="40">
        <f t="shared" si="19"/>
        <v>29000</v>
      </c>
      <c r="R50" s="40">
        <f t="shared" si="19"/>
        <v>98000</v>
      </c>
      <c r="S50" s="40">
        <f t="shared" si="19"/>
        <v>160000</v>
      </c>
      <c r="T50" s="40">
        <f t="shared" si="19"/>
        <v>141000</v>
      </c>
      <c r="U50" s="41">
        <f t="shared" si="19"/>
        <v>49000</v>
      </c>
    </row>
    <row r="51" spans="1:21" s="42" customFormat="1" ht="24" customHeight="1">
      <c r="A51" s="46">
        <v>23</v>
      </c>
      <c r="B51" s="31" t="s">
        <v>65</v>
      </c>
      <c r="C51" s="39">
        <f aca="true" t="shared" si="20" ref="C51:U51">C23+C25</f>
        <v>634740</v>
      </c>
      <c r="D51" s="39">
        <f t="shared" si="20"/>
        <v>828320</v>
      </c>
      <c r="E51" s="39">
        <f t="shared" si="20"/>
        <v>1332840</v>
      </c>
      <c r="F51" s="39">
        <f t="shared" si="20"/>
        <v>1296200</v>
      </c>
      <c r="G51" s="39">
        <f t="shared" si="20"/>
        <v>2233602</v>
      </c>
      <c r="H51" s="40">
        <f t="shared" si="20"/>
        <v>895480</v>
      </c>
      <c r="I51" s="40">
        <f t="shared" si="20"/>
        <v>895480</v>
      </c>
      <c r="J51" s="40">
        <f t="shared" si="20"/>
        <v>758840</v>
      </c>
      <c r="K51" s="40">
        <f t="shared" si="20"/>
        <v>783840</v>
      </c>
      <c r="L51" s="40">
        <f t="shared" si="20"/>
        <v>600000</v>
      </c>
      <c r="M51" s="40">
        <f t="shared" si="20"/>
        <v>550000</v>
      </c>
      <c r="N51" s="40">
        <f t="shared" si="20"/>
        <v>550000</v>
      </c>
      <c r="O51" s="40">
        <f t="shared" si="20"/>
        <v>550000</v>
      </c>
      <c r="P51" s="40">
        <f t="shared" si="20"/>
        <v>550000</v>
      </c>
      <c r="Q51" s="40">
        <f t="shared" si="20"/>
        <v>270000</v>
      </c>
      <c r="R51" s="40">
        <f t="shared" si="20"/>
        <v>270000</v>
      </c>
      <c r="S51" s="40">
        <f t="shared" si="20"/>
        <v>270000</v>
      </c>
      <c r="T51" s="40">
        <f t="shared" si="20"/>
        <v>270000</v>
      </c>
      <c r="U51" s="41">
        <f t="shared" si="20"/>
        <v>270000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1968503937007874" right="0.1968503937007874" top="0.5905511811023623" bottom="0.31496062992125984" header="0.15748031496062992" footer="0.15748031496062992"/>
  <pageSetup fitToHeight="1" fitToWidth="1" horizontalDpi="600" verticalDpi="600" orientation="landscape" paperSize="9" scale="52" r:id="rId1"/>
  <headerFooter alignWithMargins="0">
    <oddHeader>&amp;R&amp;"Arial,Pogrubiony"&amp;11Załącznik Nr 1
&amp;"Arial,Normalny"do Uchwały Nr IX/57/2011  
Rady Gminy Miłkowice
z dnia 10 czerwca 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zoomScale="75" zoomScaleNormal="75" workbookViewId="0" topLeftCell="A4">
      <selection activeCell="A22" sqref="A22:O22"/>
    </sheetView>
  </sheetViews>
  <sheetFormatPr defaultColWidth="9.33203125" defaultRowHeight="12.75"/>
  <cols>
    <col min="1" max="2" width="0.4921875" style="64" customWidth="1"/>
    <col min="3" max="3" width="2.5" style="64" customWidth="1"/>
    <col min="4" max="4" width="10.16015625" style="64" customWidth="1"/>
    <col min="5" max="5" width="2.5" style="64" customWidth="1"/>
    <col min="6" max="6" width="3.66015625" style="64" customWidth="1"/>
    <col min="7" max="7" width="10.16015625" style="64" customWidth="1"/>
    <col min="8" max="8" width="2.5" style="64" customWidth="1"/>
    <col min="9" max="9" width="16.5" style="64" customWidth="1"/>
    <col min="10" max="10" width="15.16015625" style="64" customWidth="1"/>
    <col min="11" max="11" width="10.16015625" style="64" customWidth="1"/>
    <col min="12" max="12" width="7.66015625" style="64" customWidth="1"/>
    <col min="13" max="13" width="15.16015625" style="64" customWidth="1"/>
    <col min="14" max="15" width="8.83203125" style="64" customWidth="1"/>
    <col min="16" max="16" width="5.66015625" style="64" customWidth="1"/>
    <col min="17" max="17" width="10.83203125" style="64" customWidth="1"/>
    <col min="18" max="18" width="3.83203125" style="64" customWidth="1"/>
    <col min="19" max="19" width="10.16015625" style="64" customWidth="1"/>
    <col min="20" max="20" width="2.5" style="64" customWidth="1"/>
    <col min="21" max="22" width="1.83203125" style="64" customWidth="1"/>
    <col min="23" max="23" width="9.5" style="64" customWidth="1"/>
    <col min="24" max="25" width="0.4921875" style="64" customWidth="1"/>
    <col min="26" max="26" width="1.83203125" style="64" customWidth="1"/>
    <col min="27" max="27" width="7" style="64" customWidth="1"/>
    <col min="28" max="28" width="9.33203125" style="64" customWidth="1"/>
    <col min="29" max="29" width="7.5" style="64" customWidth="1"/>
    <col min="30" max="30" width="9.33203125" style="64" customWidth="1"/>
    <col min="31" max="31" width="16.5" style="64" customWidth="1"/>
    <col min="32" max="16384" width="9.33203125" style="64" customWidth="1"/>
  </cols>
  <sheetData>
    <row r="1" spans="1:27" ht="5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31" ht="28.5" customHeight="1">
      <c r="A2" s="75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27" ht="5.2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31" ht="23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6"/>
      <c r="L5" s="90" t="s">
        <v>75</v>
      </c>
      <c r="M5" s="90"/>
      <c r="N5" s="90" t="s">
        <v>76</v>
      </c>
      <c r="O5" s="90"/>
      <c r="P5" s="90" t="s">
        <v>77</v>
      </c>
      <c r="Q5" s="90"/>
      <c r="R5" s="90" t="s">
        <v>78</v>
      </c>
      <c r="S5" s="90"/>
      <c r="T5" s="90"/>
      <c r="U5" s="90" t="s">
        <v>79</v>
      </c>
      <c r="V5" s="90"/>
      <c r="W5" s="90"/>
      <c r="X5" s="90"/>
      <c r="Y5" s="90"/>
      <c r="Z5" s="91"/>
      <c r="AA5" s="103" t="s">
        <v>80</v>
      </c>
      <c r="AB5" s="103"/>
      <c r="AC5" s="103" t="s">
        <v>81</v>
      </c>
      <c r="AD5" s="103"/>
      <c r="AE5" s="105" t="s">
        <v>82</v>
      </c>
    </row>
    <row r="6" spans="1:31" ht="16.5" customHeight="1">
      <c r="A6" s="65"/>
      <c r="B6" s="65"/>
      <c r="C6" s="65"/>
      <c r="D6" s="65"/>
      <c r="E6" s="65"/>
      <c r="F6" s="65"/>
      <c r="G6" s="65"/>
      <c r="H6" s="65"/>
      <c r="I6" s="65"/>
      <c r="J6" s="66"/>
      <c r="K6" s="67" t="s">
        <v>83</v>
      </c>
      <c r="L6" s="90"/>
      <c r="M6" s="90"/>
      <c r="N6" s="67" t="s">
        <v>84</v>
      </c>
      <c r="O6" s="67" t="s">
        <v>85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103"/>
      <c r="AB6" s="103"/>
      <c r="AC6" s="103"/>
      <c r="AD6" s="103"/>
      <c r="AE6" s="106"/>
    </row>
    <row r="7" spans="1:31" ht="23.25" customHeight="1">
      <c r="A7" s="92" t="s">
        <v>86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>
        <f>P9</f>
        <v>3219800</v>
      </c>
      <c r="Q7" s="93"/>
      <c r="R7" s="93">
        <f>R9</f>
        <v>1803046</v>
      </c>
      <c r="S7" s="93"/>
      <c r="T7" s="93"/>
      <c r="U7" s="93" t="s">
        <v>87</v>
      </c>
      <c r="V7" s="93"/>
      <c r="W7" s="93"/>
      <c r="X7" s="93"/>
      <c r="Y7" s="93"/>
      <c r="Z7" s="93"/>
      <c r="AA7" s="102" t="s">
        <v>87</v>
      </c>
      <c r="AB7" s="102"/>
      <c r="AC7" s="102" t="s">
        <v>87</v>
      </c>
      <c r="AD7" s="102"/>
      <c r="AE7" s="69">
        <f>AE9</f>
        <v>1803046</v>
      </c>
    </row>
    <row r="8" spans="1:31" ht="23.25" customHeight="1">
      <c r="A8" s="92" t="s">
        <v>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 t="s">
        <v>87</v>
      </c>
      <c r="Q8" s="93"/>
      <c r="R8" s="93" t="s">
        <v>87</v>
      </c>
      <c r="S8" s="93"/>
      <c r="T8" s="93"/>
      <c r="U8" s="93" t="s">
        <v>87</v>
      </c>
      <c r="V8" s="93"/>
      <c r="W8" s="93"/>
      <c r="X8" s="93"/>
      <c r="Y8" s="93"/>
      <c r="Z8" s="93"/>
      <c r="AA8" s="93" t="s">
        <v>87</v>
      </c>
      <c r="AB8" s="93"/>
      <c r="AC8" s="93" t="s">
        <v>87</v>
      </c>
      <c r="AD8" s="93"/>
      <c r="AE8" s="68" t="s">
        <v>87</v>
      </c>
    </row>
    <row r="9" spans="1:31" ht="23.25" customHeight="1">
      <c r="A9" s="92" t="s">
        <v>89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>
        <f>P10</f>
        <v>3219800</v>
      </c>
      <c r="Q9" s="93"/>
      <c r="R9" s="93">
        <f>R10</f>
        <v>1803046</v>
      </c>
      <c r="S9" s="93"/>
      <c r="T9" s="93"/>
      <c r="U9" s="93" t="s">
        <v>87</v>
      </c>
      <c r="V9" s="93"/>
      <c r="W9" s="93"/>
      <c r="X9" s="93"/>
      <c r="Y9" s="93"/>
      <c r="Z9" s="93"/>
      <c r="AA9" s="93" t="s">
        <v>87</v>
      </c>
      <c r="AB9" s="93"/>
      <c r="AC9" s="93" t="s">
        <v>87</v>
      </c>
      <c r="AD9" s="93"/>
      <c r="AE9" s="68">
        <f>AE10</f>
        <v>1803046</v>
      </c>
    </row>
    <row r="10" spans="1:31" ht="23.25" customHeight="1">
      <c r="A10" s="94" t="s">
        <v>90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>
        <f>P12</f>
        <v>3219800</v>
      </c>
      <c r="Q10" s="95"/>
      <c r="R10" s="95">
        <f>R12</f>
        <v>1803046</v>
      </c>
      <c r="S10" s="95"/>
      <c r="T10" s="95"/>
      <c r="U10" s="95" t="s">
        <v>87</v>
      </c>
      <c r="V10" s="95"/>
      <c r="W10" s="95"/>
      <c r="X10" s="95"/>
      <c r="Y10" s="95"/>
      <c r="Z10" s="95"/>
      <c r="AA10" s="95" t="s">
        <v>87</v>
      </c>
      <c r="AB10" s="95"/>
      <c r="AC10" s="95" t="s">
        <v>87</v>
      </c>
      <c r="AD10" s="95"/>
      <c r="AE10" s="70">
        <f>AE12</f>
        <v>1803046</v>
      </c>
    </row>
    <row r="11" spans="1:31" ht="23.25" customHeight="1">
      <c r="A11" s="92" t="s">
        <v>88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 t="s">
        <v>87</v>
      </c>
      <c r="Q11" s="93"/>
      <c r="R11" s="93" t="s">
        <v>87</v>
      </c>
      <c r="S11" s="93"/>
      <c r="T11" s="93"/>
      <c r="U11" s="93" t="s">
        <v>87</v>
      </c>
      <c r="V11" s="93"/>
      <c r="W11" s="93"/>
      <c r="X11" s="93"/>
      <c r="Y11" s="93"/>
      <c r="Z11" s="93"/>
      <c r="AA11" s="93" t="s">
        <v>87</v>
      </c>
      <c r="AB11" s="93"/>
      <c r="AC11" s="93" t="s">
        <v>87</v>
      </c>
      <c r="AD11" s="93"/>
      <c r="AE11" s="68" t="s">
        <v>87</v>
      </c>
    </row>
    <row r="12" spans="1:31" ht="23.25" customHeight="1">
      <c r="A12" s="92" t="s">
        <v>89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>
        <f>P13</f>
        <v>3219800</v>
      </c>
      <c r="Q12" s="93"/>
      <c r="R12" s="93">
        <f>R13</f>
        <v>1803046</v>
      </c>
      <c r="S12" s="93"/>
      <c r="T12" s="93"/>
      <c r="U12" s="93" t="s">
        <v>87</v>
      </c>
      <c r="V12" s="93"/>
      <c r="W12" s="93"/>
      <c r="X12" s="93"/>
      <c r="Y12" s="93"/>
      <c r="Z12" s="93"/>
      <c r="AA12" s="93" t="s">
        <v>87</v>
      </c>
      <c r="AB12" s="93"/>
      <c r="AC12" s="93" t="s">
        <v>87</v>
      </c>
      <c r="AD12" s="93"/>
      <c r="AE12" s="68">
        <f>AE13</f>
        <v>1803046</v>
      </c>
    </row>
    <row r="13" spans="1:31" ht="29.25" customHeight="1">
      <c r="A13" s="94" t="s">
        <v>91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>
        <f>P15</f>
        <v>3219800</v>
      </c>
      <c r="Q13" s="95"/>
      <c r="R13" s="95">
        <f>R15</f>
        <v>1803046</v>
      </c>
      <c r="S13" s="95"/>
      <c r="T13" s="95"/>
      <c r="U13" s="95" t="s">
        <v>87</v>
      </c>
      <c r="V13" s="95"/>
      <c r="W13" s="95"/>
      <c r="X13" s="95"/>
      <c r="Y13" s="95"/>
      <c r="Z13" s="95"/>
      <c r="AA13" s="95" t="s">
        <v>87</v>
      </c>
      <c r="AB13" s="95"/>
      <c r="AC13" s="95" t="s">
        <v>87</v>
      </c>
      <c r="AD13" s="95"/>
      <c r="AE13" s="70">
        <f>AE15</f>
        <v>1803046</v>
      </c>
    </row>
    <row r="14" spans="1:31" ht="23.25" customHeight="1">
      <c r="A14" s="92" t="s">
        <v>88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 t="s">
        <v>87</v>
      </c>
      <c r="Q14" s="93"/>
      <c r="R14" s="93" t="s">
        <v>87</v>
      </c>
      <c r="S14" s="93"/>
      <c r="T14" s="93"/>
      <c r="U14" s="93" t="s">
        <v>87</v>
      </c>
      <c r="V14" s="93"/>
      <c r="W14" s="93"/>
      <c r="X14" s="93"/>
      <c r="Y14" s="93"/>
      <c r="Z14" s="93"/>
      <c r="AA14" s="93" t="s">
        <v>87</v>
      </c>
      <c r="AB14" s="93"/>
      <c r="AC14" s="93" t="s">
        <v>87</v>
      </c>
      <c r="AD14" s="93"/>
      <c r="AE14" s="68" t="s">
        <v>87</v>
      </c>
    </row>
    <row r="15" spans="1:31" ht="23.25" customHeight="1">
      <c r="A15" s="96" t="s">
        <v>89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2"/>
      <c r="M15" s="92"/>
      <c r="N15" s="92"/>
      <c r="O15" s="92"/>
      <c r="P15" s="93">
        <f>P16</f>
        <v>3219800</v>
      </c>
      <c r="Q15" s="93"/>
      <c r="R15" s="93">
        <f>R16</f>
        <v>1803046</v>
      </c>
      <c r="S15" s="93"/>
      <c r="T15" s="93"/>
      <c r="U15" s="93" t="s">
        <v>87</v>
      </c>
      <c r="V15" s="93"/>
      <c r="W15" s="93"/>
      <c r="X15" s="93"/>
      <c r="Y15" s="93"/>
      <c r="Z15" s="93"/>
      <c r="AA15" s="93" t="s">
        <v>87</v>
      </c>
      <c r="AB15" s="93"/>
      <c r="AC15" s="93" t="s">
        <v>87</v>
      </c>
      <c r="AD15" s="93"/>
      <c r="AE15" s="68">
        <f>AE16</f>
        <v>1803046</v>
      </c>
    </row>
    <row r="16" spans="1:31" ht="101.25" customHeight="1">
      <c r="A16" s="107" t="s">
        <v>99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99" t="s">
        <v>92</v>
      </c>
      <c r="M16" s="100"/>
      <c r="N16" s="73" t="s">
        <v>93</v>
      </c>
      <c r="O16" s="73" t="s">
        <v>94</v>
      </c>
      <c r="P16" s="97">
        <v>3219800</v>
      </c>
      <c r="Q16" s="97"/>
      <c r="R16" s="97">
        <v>1803046</v>
      </c>
      <c r="S16" s="97"/>
      <c r="T16" s="97"/>
      <c r="U16" s="97" t="s">
        <v>87</v>
      </c>
      <c r="V16" s="97"/>
      <c r="W16" s="97"/>
      <c r="X16" s="97"/>
      <c r="Y16" s="97"/>
      <c r="Z16" s="97"/>
      <c r="AA16" s="97" t="s">
        <v>87</v>
      </c>
      <c r="AB16" s="97"/>
      <c r="AC16" s="97" t="s">
        <v>87</v>
      </c>
      <c r="AD16" s="97"/>
      <c r="AE16" s="74">
        <v>1803046</v>
      </c>
    </row>
    <row r="17" spans="1:31" ht="23.25" customHeight="1">
      <c r="A17" s="98" t="s">
        <v>95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4"/>
      <c r="M17" s="94"/>
      <c r="N17" s="94"/>
      <c r="O17" s="94"/>
      <c r="P17" s="95" t="s">
        <v>87</v>
      </c>
      <c r="Q17" s="95"/>
      <c r="R17" s="95" t="s">
        <v>87</v>
      </c>
      <c r="S17" s="95"/>
      <c r="T17" s="95"/>
      <c r="U17" s="95" t="s">
        <v>87</v>
      </c>
      <c r="V17" s="95"/>
      <c r="W17" s="95"/>
      <c r="X17" s="95"/>
      <c r="Y17" s="95"/>
      <c r="Z17" s="95"/>
      <c r="AA17" s="95" t="s">
        <v>87</v>
      </c>
      <c r="AB17" s="95"/>
      <c r="AC17" s="95" t="s">
        <v>87</v>
      </c>
      <c r="AD17" s="95"/>
      <c r="AE17" s="70" t="s">
        <v>87</v>
      </c>
    </row>
    <row r="18" spans="1:31" ht="23.25" customHeight="1">
      <c r="A18" s="92" t="s">
        <v>88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 t="s">
        <v>87</v>
      </c>
      <c r="Q18" s="93"/>
      <c r="R18" s="93" t="s">
        <v>87</v>
      </c>
      <c r="S18" s="93"/>
      <c r="T18" s="93"/>
      <c r="U18" s="93" t="s">
        <v>87</v>
      </c>
      <c r="V18" s="93"/>
      <c r="W18" s="93"/>
      <c r="X18" s="93"/>
      <c r="Y18" s="93"/>
      <c r="Z18" s="93"/>
      <c r="AA18" s="93" t="s">
        <v>87</v>
      </c>
      <c r="AB18" s="93"/>
      <c r="AC18" s="93" t="s">
        <v>87</v>
      </c>
      <c r="AD18" s="93"/>
      <c r="AE18" s="68" t="s">
        <v>87</v>
      </c>
    </row>
    <row r="19" spans="1:31" ht="23.25" customHeight="1">
      <c r="A19" s="92" t="s">
        <v>89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 t="s">
        <v>87</v>
      </c>
      <c r="Q19" s="93"/>
      <c r="R19" s="93" t="s">
        <v>87</v>
      </c>
      <c r="S19" s="93"/>
      <c r="T19" s="93"/>
      <c r="U19" s="93" t="s">
        <v>87</v>
      </c>
      <c r="V19" s="93"/>
      <c r="W19" s="93"/>
      <c r="X19" s="93"/>
      <c r="Y19" s="93"/>
      <c r="Z19" s="93"/>
      <c r="AA19" s="93" t="s">
        <v>87</v>
      </c>
      <c r="AB19" s="93"/>
      <c r="AC19" s="93" t="s">
        <v>87</v>
      </c>
      <c r="AD19" s="93"/>
      <c r="AE19" s="68" t="s">
        <v>87</v>
      </c>
    </row>
    <row r="20" spans="1:31" ht="23.25" customHeight="1">
      <c r="A20" s="94" t="s">
        <v>96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 t="s">
        <v>87</v>
      </c>
      <c r="Q20" s="95"/>
      <c r="R20" s="95" t="s">
        <v>87</v>
      </c>
      <c r="S20" s="95"/>
      <c r="T20" s="95"/>
      <c r="U20" s="95" t="s">
        <v>87</v>
      </c>
      <c r="V20" s="95"/>
      <c r="W20" s="95"/>
      <c r="X20" s="95"/>
      <c r="Y20" s="95"/>
      <c r="Z20" s="95"/>
      <c r="AA20" s="95" t="s">
        <v>87</v>
      </c>
      <c r="AB20" s="95"/>
      <c r="AC20" s="95" t="s">
        <v>87</v>
      </c>
      <c r="AD20" s="95"/>
      <c r="AE20" s="70" t="s">
        <v>87</v>
      </c>
    </row>
    <row r="21" spans="1:31" ht="23.25" customHeight="1">
      <c r="A21" s="92" t="s">
        <v>88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 t="s">
        <v>87</v>
      </c>
      <c r="Q21" s="93"/>
      <c r="R21" s="93" t="s">
        <v>87</v>
      </c>
      <c r="S21" s="93"/>
      <c r="T21" s="93"/>
      <c r="U21" s="93" t="s">
        <v>87</v>
      </c>
      <c r="V21" s="93"/>
      <c r="W21" s="93"/>
      <c r="X21" s="93"/>
      <c r="Y21" s="93"/>
      <c r="Z21" s="93"/>
      <c r="AA21" s="93" t="s">
        <v>87</v>
      </c>
      <c r="AB21" s="93"/>
      <c r="AC21" s="93" t="s">
        <v>87</v>
      </c>
      <c r="AD21" s="93"/>
      <c r="AE21" s="68" t="s">
        <v>87</v>
      </c>
    </row>
    <row r="22" spans="1:31" ht="23.25" customHeight="1">
      <c r="A22" s="92" t="s">
        <v>89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 t="s">
        <v>87</v>
      </c>
      <c r="Q22" s="93"/>
      <c r="R22" s="93" t="s">
        <v>87</v>
      </c>
      <c r="S22" s="93"/>
      <c r="T22" s="93"/>
      <c r="U22" s="93" t="s">
        <v>87</v>
      </c>
      <c r="V22" s="93"/>
      <c r="W22" s="93"/>
      <c r="X22" s="93"/>
      <c r="Y22" s="93"/>
      <c r="Z22" s="93"/>
      <c r="AA22" s="93" t="s">
        <v>87</v>
      </c>
      <c r="AB22" s="93"/>
      <c r="AC22" s="93" t="s">
        <v>87</v>
      </c>
      <c r="AD22" s="93"/>
      <c r="AE22" s="68" t="s">
        <v>87</v>
      </c>
    </row>
    <row r="23" spans="1:31" ht="32.25" customHeight="1">
      <c r="A23" s="94" t="s">
        <v>97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101" t="s">
        <v>87</v>
      </c>
      <c r="Q23" s="101"/>
      <c r="R23" s="101" t="s">
        <v>87</v>
      </c>
      <c r="S23" s="101"/>
      <c r="T23" s="101"/>
      <c r="U23" s="101" t="s">
        <v>87</v>
      </c>
      <c r="V23" s="101"/>
      <c r="W23" s="101"/>
      <c r="X23" s="101"/>
      <c r="Y23" s="101"/>
      <c r="Z23" s="101"/>
      <c r="AA23" s="101" t="s">
        <v>87</v>
      </c>
      <c r="AB23" s="101"/>
      <c r="AC23" s="101" t="s">
        <v>87</v>
      </c>
      <c r="AD23" s="101"/>
      <c r="AE23" s="71" t="s">
        <v>87</v>
      </c>
    </row>
    <row r="24" spans="1:31" ht="23.25" customHeight="1">
      <c r="A24" s="92" t="s">
        <v>88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04" t="s">
        <v>87</v>
      </c>
      <c r="Q24" s="104"/>
      <c r="R24" s="104" t="s">
        <v>87</v>
      </c>
      <c r="S24" s="104"/>
      <c r="T24" s="104"/>
      <c r="U24" s="104" t="s">
        <v>87</v>
      </c>
      <c r="V24" s="104"/>
      <c r="W24" s="104"/>
      <c r="X24" s="104"/>
      <c r="Y24" s="104"/>
      <c r="Z24" s="104"/>
      <c r="AA24" s="104" t="s">
        <v>87</v>
      </c>
      <c r="AB24" s="104"/>
      <c r="AC24" s="104" t="s">
        <v>87</v>
      </c>
      <c r="AD24" s="104"/>
      <c r="AE24" s="72" t="s">
        <v>87</v>
      </c>
    </row>
    <row r="25" spans="1:31" ht="23.25" customHeight="1">
      <c r="A25" s="92" t="s">
        <v>89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104" t="s">
        <v>87</v>
      </c>
      <c r="Q25" s="104"/>
      <c r="R25" s="104" t="s">
        <v>87</v>
      </c>
      <c r="S25" s="104"/>
      <c r="T25" s="104"/>
      <c r="U25" s="104" t="s">
        <v>87</v>
      </c>
      <c r="V25" s="104"/>
      <c r="W25" s="104"/>
      <c r="X25" s="104"/>
      <c r="Y25" s="104"/>
      <c r="Z25" s="104"/>
      <c r="AA25" s="104" t="s">
        <v>87</v>
      </c>
      <c r="AB25" s="104"/>
      <c r="AC25" s="104" t="s">
        <v>87</v>
      </c>
      <c r="AD25" s="104"/>
      <c r="AE25" s="72" t="s">
        <v>87</v>
      </c>
    </row>
    <row r="26" spans="1:31" ht="23.25" customHeight="1">
      <c r="A26" s="94" t="s">
        <v>98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01" t="s">
        <v>87</v>
      </c>
      <c r="Q26" s="101"/>
      <c r="R26" s="101" t="s">
        <v>87</v>
      </c>
      <c r="S26" s="101"/>
      <c r="T26" s="101"/>
      <c r="U26" s="101" t="s">
        <v>87</v>
      </c>
      <c r="V26" s="101"/>
      <c r="W26" s="101"/>
      <c r="X26" s="101"/>
      <c r="Y26" s="101"/>
      <c r="Z26" s="101"/>
      <c r="AA26" s="101" t="s">
        <v>87</v>
      </c>
      <c r="AB26" s="101"/>
      <c r="AC26" s="101" t="s">
        <v>87</v>
      </c>
      <c r="AD26" s="101"/>
      <c r="AE26" s="71" t="s">
        <v>87</v>
      </c>
    </row>
    <row r="27" spans="1:31" ht="23.25" customHeight="1">
      <c r="A27" s="92" t="s">
        <v>88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04" t="s">
        <v>87</v>
      </c>
      <c r="Q27" s="104"/>
      <c r="R27" s="104" t="s">
        <v>87</v>
      </c>
      <c r="S27" s="104"/>
      <c r="T27" s="104"/>
      <c r="U27" s="104" t="s">
        <v>87</v>
      </c>
      <c r="V27" s="104"/>
      <c r="W27" s="104"/>
      <c r="X27" s="104"/>
      <c r="Y27" s="104"/>
      <c r="Z27" s="104"/>
      <c r="AA27" s="104" t="s">
        <v>87</v>
      </c>
      <c r="AB27" s="104"/>
      <c r="AC27" s="104" t="s">
        <v>87</v>
      </c>
      <c r="AD27" s="104"/>
      <c r="AE27" s="72" t="s">
        <v>87</v>
      </c>
    </row>
  </sheetData>
  <mergeCells count="139">
    <mergeCell ref="AE5:AE6"/>
    <mergeCell ref="A16:K16"/>
    <mergeCell ref="A2:AE2"/>
    <mergeCell ref="AA27:AB27"/>
    <mergeCell ref="AC27:AD27"/>
    <mergeCell ref="AA25:AB25"/>
    <mergeCell ref="AC25:AD25"/>
    <mergeCell ref="AA26:AB26"/>
    <mergeCell ref="AC26:AD26"/>
    <mergeCell ref="AA24:AB24"/>
    <mergeCell ref="AC24:AD24"/>
    <mergeCell ref="A27:O27"/>
    <mergeCell ref="P27:Q27"/>
    <mergeCell ref="R27:T27"/>
    <mergeCell ref="U27:Z27"/>
    <mergeCell ref="A26:O26"/>
    <mergeCell ref="P26:Q26"/>
    <mergeCell ref="R26:T26"/>
    <mergeCell ref="U26:Z26"/>
    <mergeCell ref="A25:O25"/>
    <mergeCell ref="P25:Q25"/>
    <mergeCell ref="R25:T25"/>
    <mergeCell ref="U25:Z25"/>
    <mergeCell ref="A24:O24"/>
    <mergeCell ref="P24:Q24"/>
    <mergeCell ref="R24:T24"/>
    <mergeCell ref="U24:Z24"/>
    <mergeCell ref="AA22:AB22"/>
    <mergeCell ref="AC22:AD22"/>
    <mergeCell ref="AA23:AB23"/>
    <mergeCell ref="AC23:AD23"/>
    <mergeCell ref="AA20:AB20"/>
    <mergeCell ref="AC20:AD20"/>
    <mergeCell ref="AA21:AB21"/>
    <mergeCell ref="AC21:AD21"/>
    <mergeCell ref="AA18:AB18"/>
    <mergeCell ref="AC18:AD18"/>
    <mergeCell ref="AA19:AB19"/>
    <mergeCell ref="AC19:AD19"/>
    <mergeCell ref="AA16:AB16"/>
    <mergeCell ref="AC16:AD16"/>
    <mergeCell ref="AA17:AB17"/>
    <mergeCell ref="AC17:AD17"/>
    <mergeCell ref="AA14:AB14"/>
    <mergeCell ref="AC14:AD14"/>
    <mergeCell ref="AA15:AB15"/>
    <mergeCell ref="AC15:AD15"/>
    <mergeCell ref="AA12:AB12"/>
    <mergeCell ref="AC12:AD12"/>
    <mergeCell ref="AA13:AB13"/>
    <mergeCell ref="AC13:AD13"/>
    <mergeCell ref="AA10:AB10"/>
    <mergeCell ref="AC10:AD10"/>
    <mergeCell ref="AA11:AB11"/>
    <mergeCell ref="AC11:AD11"/>
    <mergeCell ref="AA8:AB8"/>
    <mergeCell ref="AC8:AD8"/>
    <mergeCell ref="AA9:AB9"/>
    <mergeCell ref="AC9:AD9"/>
    <mergeCell ref="AA7:AB7"/>
    <mergeCell ref="AC7:AD7"/>
    <mergeCell ref="AA5:AB6"/>
    <mergeCell ref="AC5:AD6"/>
    <mergeCell ref="A23:O23"/>
    <mergeCell ref="P23:Q23"/>
    <mergeCell ref="R23:T23"/>
    <mergeCell ref="U23:Z23"/>
    <mergeCell ref="A22:O22"/>
    <mergeCell ref="P22:Q22"/>
    <mergeCell ref="R22:T22"/>
    <mergeCell ref="U22:Z22"/>
    <mergeCell ref="A21:O21"/>
    <mergeCell ref="P21:Q21"/>
    <mergeCell ref="R21:T21"/>
    <mergeCell ref="U21:Z21"/>
    <mergeCell ref="A20:O20"/>
    <mergeCell ref="P20:Q20"/>
    <mergeCell ref="R20:T20"/>
    <mergeCell ref="U20:Z20"/>
    <mergeCell ref="A19:O19"/>
    <mergeCell ref="P19:Q19"/>
    <mergeCell ref="R19:T19"/>
    <mergeCell ref="U19:Z19"/>
    <mergeCell ref="A18:O18"/>
    <mergeCell ref="P18:Q18"/>
    <mergeCell ref="R18:T18"/>
    <mergeCell ref="U18:Z18"/>
    <mergeCell ref="R16:T16"/>
    <mergeCell ref="U16:Z16"/>
    <mergeCell ref="A17:O17"/>
    <mergeCell ref="P17:Q17"/>
    <mergeCell ref="R17:T17"/>
    <mergeCell ref="U17:Z17"/>
    <mergeCell ref="L16:M16"/>
    <mergeCell ref="P16:Q16"/>
    <mergeCell ref="A15:O15"/>
    <mergeCell ref="P15:Q15"/>
    <mergeCell ref="R15:T15"/>
    <mergeCell ref="U15:Z15"/>
    <mergeCell ref="A14:O14"/>
    <mergeCell ref="P14:Q14"/>
    <mergeCell ref="R14:T14"/>
    <mergeCell ref="U14:Z14"/>
    <mergeCell ref="A13:O13"/>
    <mergeCell ref="P13:Q13"/>
    <mergeCell ref="R13:T13"/>
    <mergeCell ref="U13:Z13"/>
    <mergeCell ref="A12:O12"/>
    <mergeCell ref="P12:Q12"/>
    <mergeCell ref="R12:T12"/>
    <mergeCell ref="U12:Z12"/>
    <mergeCell ref="A11:O11"/>
    <mergeCell ref="P11:Q11"/>
    <mergeCell ref="R11:T11"/>
    <mergeCell ref="U11:Z11"/>
    <mergeCell ref="A10:O10"/>
    <mergeCell ref="P10:Q10"/>
    <mergeCell ref="R10:T10"/>
    <mergeCell ref="U10:Z10"/>
    <mergeCell ref="A9:O9"/>
    <mergeCell ref="P9:Q9"/>
    <mergeCell ref="R9:T9"/>
    <mergeCell ref="U9:Z9"/>
    <mergeCell ref="A8:O8"/>
    <mergeCell ref="P8:Q8"/>
    <mergeCell ref="R8:T8"/>
    <mergeCell ref="U8:Z8"/>
    <mergeCell ref="A7:O7"/>
    <mergeCell ref="P7:Q7"/>
    <mergeCell ref="R7:T7"/>
    <mergeCell ref="U7:Z7"/>
    <mergeCell ref="A1:AA1"/>
    <mergeCell ref="B3:P3"/>
    <mergeCell ref="Q3:AA3"/>
    <mergeCell ref="L5:M6"/>
    <mergeCell ref="N5:O5"/>
    <mergeCell ref="P5:Q6"/>
    <mergeCell ref="R5:T6"/>
    <mergeCell ref="U5:Z6"/>
  </mergeCells>
  <printOptions/>
  <pageMargins left="0.75" right="0.75" top="1" bottom="0.59" header="0.4" footer="0.33"/>
  <pageSetup fitToHeight="1" fitToWidth="1" orientation="landscape" paperSize="9" scale="77" r:id="rId1"/>
  <headerFooter alignWithMargins="0">
    <oddHeader>&amp;R&amp;"Arial,Pogrubiony"&amp;10Załącznik Nr 2
&amp;"Arial,Normalny"do Uchwały Nr IX/57/2011
Rady Gminy Miłkowice 
z dnia 10 czerwca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2011-06-13T07:03:43Z</cp:lastPrinted>
  <dcterms:created xsi:type="dcterms:W3CDTF">2009-11-13T08:08:33Z</dcterms:created>
  <dcterms:modified xsi:type="dcterms:W3CDTF">2011-06-14T08:24:22Z</dcterms:modified>
  <cp:category/>
  <cp:version/>
  <cp:contentType/>
  <cp:contentStatus/>
</cp:coreProperties>
</file>