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580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externalReferences>
    <externalReference r:id="rId18"/>
  </externalReferences>
  <definedNames>
    <definedName name="_xlnm.Print_Area" localSheetId="0">'1'!$A$1:$M$112</definedName>
    <definedName name="_xlnm.Print_Area" localSheetId="10">'11'!$A$1:$C$39</definedName>
    <definedName name="_xlnm.Print_Area" localSheetId="11">'12'!$A$1:$G$41</definedName>
    <definedName name="_xlnm.Print_Area" localSheetId="13">'14'!$A$1:$F$31</definedName>
    <definedName name="_xlnm.Print_Area" localSheetId="1">'2'!$A$1:$K$98</definedName>
    <definedName name="_xlnm.Print_Area" localSheetId="2">'3'!$A$1:$L$92</definedName>
    <definedName name="_xlnm.Print_Area" localSheetId="3">'4'!$A$1:$J$213</definedName>
    <definedName name="_xlnm.Print_Area" localSheetId="4">'5'!$A$1:$K$84</definedName>
    <definedName name="_xlnm.Print_Area" localSheetId="5">'6'!$A$1:$G$35</definedName>
    <definedName name="_xlnm.Print_Area" localSheetId="6">'7'!$A$1:$O$40</definedName>
    <definedName name="_xlnm.Print_Titles" localSheetId="4">'5'!$3:$6</definedName>
  </definedNames>
  <calcPr fullCalcOnLoad="1"/>
</workbook>
</file>

<file path=xl/sharedStrings.xml><?xml version="1.0" encoding="utf-8"?>
<sst xmlns="http://schemas.openxmlformats.org/spreadsheetml/2006/main" count="1451" uniqueCount="766">
  <si>
    <r>
      <t xml:space="preserve">Nazwa Projektu:  </t>
    </r>
    <r>
      <rPr>
        <i/>
        <sz val="10"/>
        <rFont val="Arial"/>
        <family val="2"/>
      </rPr>
      <t>Utworzenie Strefy Aktywności Gospodarczej w Rzeszotarach</t>
    </r>
  </si>
  <si>
    <r>
      <t xml:space="preserve">Nazwa Projektu: </t>
    </r>
    <r>
      <rPr>
        <i/>
        <sz val="10"/>
        <rFont val="Arial"/>
        <family val="2"/>
      </rPr>
      <t>Przebudowa obiektu sportowego w Miłkowicach wraz z budową szatni</t>
    </r>
  </si>
  <si>
    <r>
      <t xml:space="preserve">Nazwa Projektu:  </t>
    </r>
    <r>
      <rPr>
        <i/>
        <sz val="10"/>
        <rFont val="Arial"/>
        <family val="2"/>
      </rPr>
      <t>Budowa szatni w Siedliskach</t>
    </r>
  </si>
  <si>
    <r>
      <t xml:space="preserve">Nazwa Projektu:  </t>
    </r>
    <r>
      <rPr>
        <i/>
        <sz val="10"/>
        <rFont val="Arial"/>
        <family val="2"/>
      </rPr>
      <t>Rozbudowa terenów zielonych na terenie gminy (parki, skwery, place zabaw)</t>
    </r>
  </si>
  <si>
    <r>
      <t xml:space="preserve">Program: </t>
    </r>
    <r>
      <rPr>
        <sz val="10"/>
        <rFont val="Arial"/>
        <family val="2"/>
      </rPr>
      <t>Regionalny Program Operacyjny</t>
    </r>
  </si>
  <si>
    <r>
      <t xml:space="preserve">Priorytet 6: </t>
    </r>
    <r>
      <rPr>
        <i/>
        <sz val="10"/>
        <rFont val="Arial"/>
        <family val="2"/>
      </rPr>
      <t>Wykorzystanie i promocja potencjału turystycznego i kulturowego Dolnego Śląska "Turystyka i Kultura"</t>
    </r>
  </si>
  <si>
    <r>
      <t>Działanie 6.2</t>
    </r>
    <r>
      <rPr>
        <sz val="10"/>
        <rFont val="Arial"/>
        <family val="2"/>
      </rPr>
      <t xml:space="preserve"> Turystyka aktywna</t>
    </r>
  </si>
  <si>
    <r>
      <t xml:space="preserve">Nazwa projektu: </t>
    </r>
    <r>
      <rPr>
        <i/>
        <sz val="10"/>
        <rFont val="Arial"/>
        <family val="2"/>
      </rPr>
      <t>Budowa ścieżek rowerowych na terenie gminy - około 10 km</t>
    </r>
  </si>
  <si>
    <r>
      <t xml:space="preserve">Priorytet 5: </t>
    </r>
    <r>
      <rPr>
        <sz val="10"/>
        <rFont val="Arial"/>
        <family val="2"/>
      </rPr>
      <t>Regionalna infrastruktura energetyczna przyjazna środowisku "Energetyka"</t>
    </r>
  </si>
  <si>
    <r>
      <t>Działanie 5.1</t>
    </r>
    <r>
      <rPr>
        <sz val="10"/>
        <rFont val="Arial"/>
        <family val="2"/>
      </rPr>
      <t xml:space="preserve"> Odnawialne źródła energii</t>
    </r>
  </si>
  <si>
    <r>
      <t xml:space="preserve">Nazwa projektu: </t>
    </r>
    <r>
      <rPr>
        <i/>
        <sz val="10"/>
        <rFont val="Arial"/>
        <family val="2"/>
      </rPr>
      <t>Budowa kotłowni ekologicznej dla kompleksu budynków publicznych w Miłkowicach</t>
    </r>
  </si>
  <si>
    <t>Kolonie i obozy oraz inne formy wypoczynku dzieci i młodzieży szkolnej, a także szkolenia młodzieży</t>
  </si>
  <si>
    <t>Dokształcanie i doskonalenie nauczycieli</t>
  </si>
  <si>
    <t>900</t>
  </si>
  <si>
    <t>Ochrona powietrza atmosferycznego i klimatu</t>
  </si>
  <si>
    <t>90002</t>
  </si>
  <si>
    <t>Gospodarka odpadami</t>
  </si>
  <si>
    <t>90005</t>
  </si>
  <si>
    <t>90095</t>
  </si>
  <si>
    <t>Pozostała działalnosć</t>
  </si>
  <si>
    <t>921</t>
  </si>
  <si>
    <t>92109</t>
  </si>
  <si>
    <t>92116</t>
  </si>
  <si>
    <t>92120</t>
  </si>
  <si>
    <t>Ochrona i opieka nad zabytkami</t>
  </si>
  <si>
    <t>926</t>
  </si>
  <si>
    <t>KULTURA FIZYCZNA I SPORT</t>
  </si>
  <si>
    <t>92605</t>
  </si>
  <si>
    <t>Zadania w zakresie kultury fizycznej i sportu</t>
  </si>
  <si>
    <t>90015</t>
  </si>
  <si>
    <t>Oświetlenie ulic, placów i dróg</t>
  </si>
  <si>
    <t>80104</t>
  </si>
  <si>
    <t xml:space="preserve">Przedszkola </t>
  </si>
  <si>
    <t>80146</t>
  </si>
  <si>
    <t>Drogi publiczne powiatowe</t>
  </si>
  <si>
    <t>60014</t>
  </si>
  <si>
    <t>wynagrodzenia i pochodne od wynagrodzeń</t>
  </si>
  <si>
    <t>Wydatki
ogółem
(6+9)</t>
  </si>
  <si>
    <t>Gminny Zakład Gospodarki komunalnej w Miłkowicach</t>
  </si>
  <si>
    <t>Gminny Zakład Opieki Zdrowotnej w Miłkowicach</t>
  </si>
  <si>
    <t>Gminny Ośrodek Kultury i Sportu w Miłkowicach</t>
  </si>
  <si>
    <t>prowadzenie Edukacyjnego Centrum Informacyjnego</t>
  </si>
  <si>
    <t>na realizację zadań gminy z zakresu kultury fizycznej i sportu</t>
  </si>
  <si>
    <t>na realizację zadań gminy z zakresu bibliotek gminnych</t>
  </si>
  <si>
    <t>na realizację zadań gminy z zakresu krzewienia kultury</t>
  </si>
  <si>
    <t>wpływy z różnych opłat (dochody z tytułu opłat za wydawanie dowodów osobistych)</t>
  </si>
  <si>
    <t>wpływy z różnych dochodów (dochody z tytułu odzyskanych od dłużnika zaliczek alimentacyjnych)</t>
  </si>
  <si>
    <t>2011 rok</t>
  </si>
  <si>
    <t>Dochody
ogółem</t>
  </si>
  <si>
    <t>Dochody  ogółem:</t>
  </si>
  <si>
    <t>Wydatki  ogółem:</t>
  </si>
  <si>
    <t>upowszechnianie kultury fizycznej sportu na terenie gminy</t>
  </si>
  <si>
    <t>na realizację programów profilaktyki rozwiązywania problemów alkoholowych</t>
  </si>
  <si>
    <t>X</t>
  </si>
  <si>
    <t>Przewidywane nakłady i źródła finansowania</t>
  </si>
  <si>
    <t>źródło</t>
  </si>
  <si>
    <t>2009 rok</t>
  </si>
  <si>
    <t>Wydatki  majątkowe  razem:</t>
  </si>
  <si>
    <t>pozostałe dochody bieżące</t>
  </si>
  <si>
    <t>Wpływy z innych opłat stanowiących dochody jedn. samorządu terytorialnego na podst. ustaw</t>
  </si>
  <si>
    <t>zł</t>
  </si>
  <si>
    <t>Wartość zadania:</t>
  </si>
  <si>
    <t xml:space="preserve"> środki z budżetu j.s.t.</t>
  </si>
  <si>
    <t>kredyty i pożyczki</t>
  </si>
  <si>
    <t xml:space="preserve"> środki z UE</t>
  </si>
  <si>
    <t>Wartość zadania</t>
  </si>
  <si>
    <t>środki z UE</t>
  </si>
  <si>
    <t>środki budżetu j.s.t</t>
  </si>
  <si>
    <t>środki budżetu krajowego</t>
  </si>
  <si>
    <t>Ogółem:</t>
  </si>
  <si>
    <t>Klasyfikacja (dział, rozdział)</t>
  </si>
  <si>
    <r>
      <t>Dział 900:</t>
    </r>
    <r>
      <rPr>
        <sz val="10"/>
        <rFont val="Arial CE"/>
        <family val="2"/>
      </rPr>
      <t xml:space="preserve"> GOSPODARKA KOMUNALNA I OCHRONA ŚRODOWISKA</t>
    </r>
  </si>
  <si>
    <r>
      <t xml:space="preserve">     Rozdział 90011:</t>
    </r>
    <r>
      <rPr>
        <sz val="10"/>
        <rFont val="Arial CE"/>
        <family val="2"/>
      </rPr>
      <t xml:space="preserve"> Fundusz Ochrony Środowiska i Gospodarki Wodnej</t>
    </r>
  </si>
  <si>
    <r>
      <t xml:space="preserve">                             § 0690 </t>
    </r>
    <r>
      <rPr>
        <sz val="10"/>
        <rFont val="Arial CE"/>
        <family val="0"/>
      </rPr>
      <t>Wpływy z różnych opłat</t>
    </r>
  </si>
  <si>
    <t>Termin realizacji</t>
  </si>
  <si>
    <t>Źródła finansowania</t>
  </si>
  <si>
    <t>Wkład własny</t>
  </si>
  <si>
    <t>Dział 010 : ROLNICTWO I ŁOWIECTWO</t>
  </si>
  <si>
    <t>Rozdział 01010 : Infrastruktura wodociągowa i sanitacyjna wsi</t>
  </si>
  <si>
    <t>Dział 600 : TRANSPORT I ŁĄCZNOŚĆ</t>
  </si>
  <si>
    <t>Dział 851 : OCHRONA ZDROWIA</t>
  </si>
  <si>
    <t>Rozdział 85121 : Lecznictwo ambulatoryjne</t>
  </si>
  <si>
    <t>Dział 921 : KULTURA I OCHRONA DZIEDZICTWA NARODOWEGO</t>
  </si>
  <si>
    <t>9.</t>
  </si>
  <si>
    <t>Środki unijne (art. 5 ust. 1 pkt 2 i 3 u.f.p.)</t>
  </si>
  <si>
    <t>dotacje i środki z innych źródeł</t>
  </si>
  <si>
    <t>2007-2008</t>
  </si>
  <si>
    <t>Urząd Gminy    w Miłkowicach</t>
  </si>
  <si>
    <t xml:space="preserve">       Rozdział 60016 : Drogi publiczne gminne</t>
  </si>
  <si>
    <t>Utworzenie Centrum Edukacyjno-Kulturalnego w Ulesiu</t>
  </si>
  <si>
    <t>Dział 700 : GOSPODARKA MIESZKANIOWA</t>
  </si>
  <si>
    <t>Rozdział 70005 : Gospodarka gruntami i nieruchomościami</t>
  </si>
  <si>
    <t>Razem wydatki inwestycyjne:</t>
  </si>
  <si>
    <t xml:space="preserve">Łączne koszty finansowe </t>
  </si>
  <si>
    <t>sporz. Renata Matusiewicz</t>
  </si>
  <si>
    <t>§ 2650</t>
  </si>
  <si>
    <t>2.1.4</t>
  </si>
  <si>
    <t xml:space="preserve">pożyczek </t>
  </si>
  <si>
    <t>dotacje i środki otrzymane na inwestycyje</t>
  </si>
  <si>
    <t>podatki i opłaty lokalne</t>
  </si>
  <si>
    <t>0490</t>
  </si>
  <si>
    <t>Wpływy z innych lokalnych opłat pobieranych przez jednostki samorządu terytorialnego na podstawie odrębnych ustaw</t>
  </si>
  <si>
    <t>Zaciągnięte zobowiązania  (stan na 31.12.roku poprzedniego) z tytułu:</t>
  </si>
  <si>
    <t>Planowane w roku budżetowym z tytułu:</t>
  </si>
  <si>
    <t>Obsługa długu (2.1+2.2)</t>
  </si>
  <si>
    <t>Spłata rat kapitałowych z tytułu:</t>
  </si>
  <si>
    <t>2.1.5</t>
  </si>
  <si>
    <r>
      <t xml:space="preserve">Zobowiązania wg tytułów dłużnych (stan na 31.12. roku budżetowego) : </t>
    </r>
    <r>
      <rPr>
        <sz val="10"/>
        <rFont val="Arial"/>
        <family val="2"/>
      </rPr>
      <t>(1.1+1.2) - 2.1.</t>
    </r>
  </si>
  <si>
    <r>
      <t xml:space="preserve">długu </t>
    </r>
    <r>
      <rPr>
        <sz val="10"/>
        <rFont val="Arial"/>
        <family val="2"/>
      </rPr>
      <t xml:space="preserve">(art. 170 ust. 1)    1:3         </t>
    </r>
  </si>
  <si>
    <r>
      <t xml:space="preserve">długu po uwzględnieniu wyłączeń </t>
    </r>
    <r>
      <rPr>
        <sz val="10"/>
        <rFont val="Arial"/>
        <family val="2"/>
      </rPr>
      <t>(art. 170 ust. 3)
(1-1.1.3.-1.2.3+2.1.5):3</t>
    </r>
  </si>
  <si>
    <t>kredytów i pożyczek zaciąganych w celu realizacji umów zawartych z podmiotem dysponującym środkami o których mowa w art.5 ust.3 art.170 ustawy o finansach publicznych)</t>
  </si>
  <si>
    <r>
      <t xml:space="preserve">spłaty zadłużenia po uwzględnieniu wyłączeń </t>
    </r>
    <r>
      <rPr>
        <sz val="10"/>
        <rFont val="Arial"/>
        <family val="2"/>
      </rPr>
      <t>(art. 169 ust. 3) (2-2.1.5):3</t>
    </r>
  </si>
  <si>
    <t>2010 rok</t>
  </si>
  <si>
    <t>GFOŚiGW</t>
  </si>
  <si>
    <t xml:space="preserve">Budowa kanalizacji sanitarnej dla miejscowości Jezierzany, Jakuszów, Pątnówek i Bobrów </t>
  </si>
  <si>
    <t>Urząd Gminy        w Miłkowicach</t>
  </si>
  <si>
    <t xml:space="preserve">Budowa kanalizacji sanitarnej wraz z przyłączami dla miejscowości Gniewomirowice i Goślinów </t>
  </si>
  <si>
    <t>GZGK    w Miłkowicach</t>
  </si>
  <si>
    <t>2007-2009</t>
  </si>
  <si>
    <t>Dział 754: BEZPIECZEŃSTWO PUBLICZNE I OCHRONA PRZECIWPOŻAROWA</t>
  </si>
  <si>
    <t>Rozdział 75412 : Ochotnicze straże pożarne</t>
  </si>
  <si>
    <t>Dział 900 : GOSPODARKA KOMUNALNA I OCHRONA ŚRODOWISKA</t>
  </si>
  <si>
    <t>Rozdział  92109: Domy i ośrodki kultury, świetlice i kluby</t>
  </si>
  <si>
    <t>0770</t>
  </si>
  <si>
    <t>Wpływy z tytułu odpłatnego nabycia praw własności oraz prawa użytkowania wieczystego nieruchomości</t>
  </si>
  <si>
    <t>Wpływy z opłaty targowej</t>
  </si>
  <si>
    <t>0370</t>
  </si>
  <si>
    <t>Pozostałe wydatki bieżące</t>
  </si>
  <si>
    <t>Wynagrodzenia osobowe pracowników</t>
  </si>
  <si>
    <t>Dodatkowe wynagrodzenie roczne</t>
  </si>
  <si>
    <t>Składki na ubezpieczenia społeczne</t>
  </si>
  <si>
    <t>Składki na Fundusz Pracy</t>
  </si>
  <si>
    <t>Zakup usług pozostałych</t>
  </si>
  <si>
    <t>Plan na
2009 rok</t>
  </si>
  <si>
    <t>Plan wydatków budżetu gminy na  2009 r.</t>
  </si>
  <si>
    <t xml:space="preserve">   -    Szkolno-Gimnazjalny Zespół Szkół</t>
  </si>
  <si>
    <t>Wynagrodzenia bezosobowe</t>
  </si>
  <si>
    <t>Zakup energii</t>
  </si>
  <si>
    <t>Różne opłaty i składki</t>
  </si>
  <si>
    <t>Podatek od towarów i usług (VAT)</t>
  </si>
  <si>
    <t>Podróże służbowe krajowe</t>
  </si>
  <si>
    <t>Zakup usług zdrowotnych</t>
  </si>
  <si>
    <t>Oświata i wychowanie</t>
  </si>
  <si>
    <t>Zakup usług obejmujących wykonanie ekspertyz, analiz i opinii</t>
  </si>
  <si>
    <t>Wydatki osobowe niezaliczone do wynagrodzeń</t>
  </si>
  <si>
    <t>Szkolenia pracowników niebędących członkami korpusu służby cywilnej</t>
  </si>
  <si>
    <t>Zakup materiałów papierniczych do sprzętu drukarskiego i urządzeń kserograficznych</t>
  </si>
  <si>
    <t>Obiekty sportowe</t>
  </si>
  <si>
    <t>0010</t>
  </si>
  <si>
    <t>0020</t>
  </si>
  <si>
    <t>Ochrona różnorodności biologicznej i klimatu</t>
  </si>
  <si>
    <t>Zarządzanie kryzysowe</t>
  </si>
  <si>
    <t>Opłata od posiadania psów</t>
  </si>
  <si>
    <t>2008-2011</t>
  </si>
  <si>
    <t>Budowa drogi asfaltowej w Ulesiu - droga do obwodnicy Nr 3 - 1000m</t>
  </si>
  <si>
    <t>2008-2009</t>
  </si>
  <si>
    <t>Budowa Gminnego Ośrodka Zdrowia w Miłkowicach wraz z zakupem wyposażenia i zagospodarowaniem placu</t>
  </si>
  <si>
    <t>Uwagi</t>
  </si>
  <si>
    <t>75095</t>
  </si>
  <si>
    <t>75421</t>
  </si>
  <si>
    <t xml:space="preserve">   -    Urząd Gminy Miłkowice</t>
  </si>
  <si>
    <t>90008</t>
  </si>
  <si>
    <t>92601</t>
  </si>
  <si>
    <t>Kredyty i pożyczki</t>
  </si>
  <si>
    <t>środki budzetu j.s.t</t>
  </si>
  <si>
    <r>
      <t>Oś 3:</t>
    </r>
    <r>
      <rPr>
        <sz val="10"/>
        <rFont val="Arial"/>
        <family val="2"/>
      </rPr>
      <t xml:space="preserve"> Odnowa i rozwój wsi</t>
    </r>
  </si>
  <si>
    <t>Utworzenie Strefy Aktywności Gospodarczej w Rzeszotarach</t>
  </si>
  <si>
    <t>2008-2010</t>
  </si>
  <si>
    <t>Budowa kotłowni ekologicznej dla kompleksu budynków publicznych w Miłkowicach</t>
  </si>
  <si>
    <t>Budowa wodociągu tranzytowego Niedźwiedzice-Miłkowice i udział w budowie Stacji Uzdatniania Wody w Okmianach</t>
  </si>
  <si>
    <t>Nazwa dotowanego</t>
  </si>
  <si>
    <t>Urząd Miasta Legnica</t>
  </si>
  <si>
    <t>na dofinansowanie prac remontowych przy zabytkach</t>
  </si>
  <si>
    <t>na koszty utrzymania dziecka uczęszczającego do przedszkola w Legnicy</t>
  </si>
  <si>
    <t>Nazwa i cel programu</t>
  </si>
  <si>
    <t>Okres realizacji</t>
  </si>
  <si>
    <t xml:space="preserve">Łączne nakłady finansowe </t>
  </si>
  <si>
    <r>
      <t xml:space="preserve">                             § 4300 </t>
    </r>
    <r>
      <rPr>
        <sz val="10"/>
        <rFont val="Arial CE"/>
        <family val="0"/>
      </rPr>
      <t xml:space="preserve">Edukacja Ekologiczna </t>
    </r>
  </si>
  <si>
    <r>
      <t xml:space="preserve">                             § 4300 </t>
    </r>
    <r>
      <rPr>
        <sz val="10"/>
        <rFont val="Arial CE"/>
        <family val="0"/>
      </rPr>
      <t>Wycinka uschniętych drzew</t>
    </r>
  </si>
  <si>
    <t xml:space="preserve">kredyty i pożyczki </t>
  </si>
  <si>
    <t>Koszty ogółem, w tym:</t>
  </si>
  <si>
    <t xml:space="preserve">     fundusze unijne</t>
  </si>
  <si>
    <t>Limit wydatków związanych z Wieloletnim Programem Inwestycyjnym Gminy Miłkowice na lata 2009-2011</t>
  </si>
  <si>
    <t>Wydatki  na programy i projekty realizowane ze środków pochodzących z funduszy strukturalnych i funduszu spójności Unii na lata 2009-2011</t>
  </si>
  <si>
    <t>Planowane wydatki budżetowe na realizację zadań programu w latach    2009 - 2011</t>
  </si>
  <si>
    <t xml:space="preserve">     środki własne</t>
  </si>
  <si>
    <t xml:space="preserve">     kredyty i pożyczki</t>
  </si>
  <si>
    <t xml:space="preserve">     dotacje i inne środki</t>
  </si>
  <si>
    <t>Wysokość wydatków w latach</t>
  </si>
  <si>
    <t>Modernizacja oczyszczalni ścieków w Miłkowicach z remontem sieci wodociągowej - I etap Modernizacja oczyszczalni ścieków w Miłkowicach</t>
  </si>
  <si>
    <t>Jednostka organizacyjna realizująca program</t>
  </si>
  <si>
    <t>Biblioteki, domy i ośrodki kultury, świetlice i kluby</t>
  </si>
  <si>
    <t>Gospodarka gruntami i nierucho-mościami</t>
  </si>
  <si>
    <t>Zdrowie i opieka społeczna</t>
  </si>
  <si>
    <t>Edukacja i sport</t>
  </si>
  <si>
    <t>Przebudowa obiektu sportowego w Miłkowicach wraz z budową szatni</t>
  </si>
  <si>
    <t>Budowa szatni w Siedliskach</t>
  </si>
  <si>
    <t>Budowa wielofunkcyjnej hali sportowej przy Szkole Podstawowej w Rzeszotarach</t>
  </si>
  <si>
    <t>Przebudowa Szkoły Podstawowej w Miłkowicach</t>
  </si>
  <si>
    <t>Transport i komunikacja</t>
  </si>
  <si>
    <t>Budowa dróg transportu rolniczego na terenie gminy - około 25 km</t>
  </si>
  <si>
    <t>92195</t>
  </si>
  <si>
    <t>Budowa ścieżek rowerowych na terenie gminy - około 10 km</t>
  </si>
  <si>
    <t>2010-2011</t>
  </si>
  <si>
    <t>Ochrona środowiska</t>
  </si>
  <si>
    <t>środki z UE *)</t>
  </si>
  <si>
    <t>PLAN PRZYCHODÓW I ROZCHODÓW</t>
  </si>
  <si>
    <t>związanych z finansowaniem niedoboru i rozdysponowaniem                                    nadwyżki budżetowej</t>
  </si>
  <si>
    <t>DOCHODY  BUDŻETU GMINY</t>
  </si>
  <si>
    <t>WYDATKI  BUDŻETU GMINY</t>
  </si>
  <si>
    <t>KWOTA DEFICYTU BUDŻETOWEGO</t>
  </si>
  <si>
    <t>Rozdysponowanie przychodów i rozchodów</t>
  </si>
  <si>
    <t>Kwota w zł</t>
  </si>
  <si>
    <t>DOCHODY BUDŻETU GMINY</t>
  </si>
  <si>
    <t>PRZYCHODY BUDŻETU GMINY</t>
  </si>
  <si>
    <t>RAZEM</t>
  </si>
  <si>
    <t>ROZCHODY BUDŻETU GMINY</t>
  </si>
  <si>
    <t>WYDATKI BUDŻETU GMINY</t>
  </si>
  <si>
    <t xml:space="preserve">   -    GOPS w Miłkowicach</t>
  </si>
  <si>
    <t>Dochody z tytułu wydwania zewoleń na sprzedaż alkoholu i wydatki związane z realizacją Gminnego Programu Profilaktyki i Rozwiązywania Problemów Alkoholowych oraz Gminnego Programu Przeciwdziałania Narkomanii w 2009 r.</t>
  </si>
  <si>
    <t>Dochody i wydatki związane z realizacją zadań z zakresu administracji rządowej i innych zadań zleconych odrębnymi ustawami w 2009 r.</t>
  </si>
  <si>
    <t>Kwota długu na dzień 31.12.2008</t>
  </si>
  <si>
    <t>obligacji</t>
  </si>
  <si>
    <t>1.1.4</t>
  </si>
  <si>
    <t>1.2.4</t>
  </si>
  <si>
    <t>wykup papierów wartościowych (obligacji)</t>
  </si>
  <si>
    <t>Prognozowane dochody budżetowe, w tym:</t>
  </si>
  <si>
    <t>3.1.</t>
  </si>
  <si>
    <t>dochody własne</t>
  </si>
  <si>
    <t>3.2.</t>
  </si>
  <si>
    <t>subwencje</t>
  </si>
  <si>
    <t>3.3.</t>
  </si>
  <si>
    <t>Prognozowane wydatki budżetowe, w tym:</t>
  </si>
  <si>
    <t>4.1.</t>
  </si>
  <si>
    <t>wydatki bieżące</t>
  </si>
  <si>
    <t>4.2.</t>
  </si>
  <si>
    <t>wydatki majatkowe</t>
  </si>
  <si>
    <t>Plan dochodów budżetu gminy na 2009 r.</t>
  </si>
  <si>
    <t>Wykaz zadań inwestycyjnych na 2009 rok</t>
  </si>
  <si>
    <t>Jednostka organizacyjna realizująca lub koordynująca wykonanie zadania</t>
  </si>
  <si>
    <t xml:space="preserve">Wykup gruntów, na których posadowione są przepompownie ścieków </t>
  </si>
  <si>
    <t>Remont i modernizacja remizy w OSP Rzeszotary</t>
  </si>
  <si>
    <t>2007-2010</t>
  </si>
  <si>
    <t>Rozdział  90002: Gospodarka odpadami</t>
  </si>
  <si>
    <t>Zakup pojemników do selektywnej zbiórki odpadów</t>
  </si>
  <si>
    <t>Rozdział  90008: Ochrona różnorodności biologicznej i krajobrazu</t>
  </si>
  <si>
    <t>Inwentaryzacja zasobów przyrodniczych gminy Miłkowice</t>
  </si>
  <si>
    <t>Dotacja z WFOŚIGW</t>
  </si>
  <si>
    <t>Planowane wydatki w roku 2009    (od 6 do 11)</t>
  </si>
  <si>
    <t>kredyty, pożyczki, obligacje</t>
  </si>
  <si>
    <t>Urząd Gminy   Miłkowice</t>
  </si>
  <si>
    <t>Rozdział  90095: Pozostała działalność</t>
  </si>
  <si>
    <t>Starostwo Powiatowe w Lubinie</t>
  </si>
  <si>
    <t>2009-2010</t>
  </si>
  <si>
    <t>Budowa schroniska dla bezdomnych zwierząt - partycypacja</t>
  </si>
  <si>
    <t>Zakup pięciu podestów scenicznych</t>
  </si>
  <si>
    <t>GOKiS   w Miłkowicach</t>
  </si>
  <si>
    <t>Obligacje komunalne</t>
  </si>
  <si>
    <t>Dotacja celowa na dofinans. inwestycji</t>
  </si>
  <si>
    <t>Dotacja celowa na dofinans.  inwestycji</t>
  </si>
  <si>
    <t>Kredyt z BGK preferencyjny</t>
  </si>
  <si>
    <t>Prognoza kwoty długu i spłat na rok 2009 i lata następne</t>
  </si>
  <si>
    <t>2320</t>
  </si>
  <si>
    <t>Dotacje celowe otrzymane z powiatu na zadania bieżące realizowane na podstawie porozumień (umów) między jednostkami samorządu terytorialnego</t>
  </si>
  <si>
    <t>Dotacje celowe otrzymane z budżetu państwa na realizację zadań bieżących z zakresu administracji rządowej oraz innych zadań zleconych gminie ustawami</t>
  </si>
  <si>
    <t>Uzupełnienie powyższego zestawienia :</t>
  </si>
  <si>
    <t>Razem</t>
  </si>
  <si>
    <r>
      <t xml:space="preserve">Program:  </t>
    </r>
    <r>
      <rPr>
        <sz val="10"/>
        <rFont val="Arial"/>
        <family val="2"/>
      </rPr>
      <t xml:space="preserve">Regionalny Program Operacyjny  </t>
    </r>
  </si>
  <si>
    <r>
      <t xml:space="preserve">Działanie 4.2 </t>
    </r>
    <r>
      <rPr>
        <sz val="10"/>
        <rFont val="Arial"/>
        <family val="2"/>
      </rPr>
      <t>Infrastruktura wodno -ściekowa</t>
    </r>
  </si>
  <si>
    <t>wartość zadania ogółem:</t>
  </si>
  <si>
    <t>Szkoła Podstawowa w Rzeszotarach</t>
  </si>
  <si>
    <t>dotychczas poniesione nakłady</t>
  </si>
  <si>
    <r>
      <t xml:space="preserve">Program: </t>
    </r>
    <r>
      <rPr>
        <sz val="10"/>
        <rFont val="Arial"/>
        <family val="2"/>
      </rPr>
      <t>Program Rozwoju Obszarów Wiejskich</t>
    </r>
  </si>
  <si>
    <r>
      <t xml:space="preserve">Oś 3: </t>
    </r>
    <r>
      <rPr>
        <sz val="10"/>
        <rFont val="Arial"/>
        <family val="2"/>
      </rPr>
      <t>Podstawowe usługi dla gospodarki i ludności wiejskiej</t>
    </r>
  </si>
  <si>
    <r>
      <t>Działanie:</t>
    </r>
    <r>
      <rPr>
        <sz val="10"/>
        <rFont val="Arial"/>
        <family val="2"/>
      </rPr>
      <t xml:space="preserve"> Obszary wiejskie</t>
    </r>
  </si>
  <si>
    <t>w tys. złotych</t>
  </si>
  <si>
    <t>010,01010</t>
  </si>
  <si>
    <t>921,92109</t>
  </si>
  <si>
    <t>921,92116</t>
  </si>
  <si>
    <t>900,90005</t>
  </si>
  <si>
    <t>L.p</t>
  </si>
  <si>
    <t>DOCHODY OD OS. PRAW., OD OS. FIZ. I OD INNYCH JEDN. NIE POSIADAJĄCYCH OSOBOWOŚCI PRAWNEJ ORAZ WYDATKI ZWIĄZANE Z ICH POBOREM</t>
  </si>
  <si>
    <t>Ochrona różnorodności biologicznej i krajobrazu</t>
  </si>
  <si>
    <t>Wyszczególnienie</t>
  </si>
  <si>
    <t>4.</t>
  </si>
  <si>
    <t>Dział</t>
  </si>
  <si>
    <t>Rozdział</t>
  </si>
  <si>
    <t>§</t>
  </si>
  <si>
    <t>Treść</t>
  </si>
  <si>
    <t>w tym:</t>
  </si>
  <si>
    <t>Wydatki</t>
  </si>
  <si>
    <t>Przychody</t>
  </si>
  <si>
    <t>I.</t>
  </si>
  <si>
    <t>1.</t>
  </si>
  <si>
    <t>2.</t>
  </si>
  <si>
    <t>3.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</si>
  <si>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</si>
  <si>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</si>
  <si>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</si>
  <si>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</si>
  <si>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</si>
  <si>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</si>
  <si>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</si>
  <si>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</si>
  <si>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</si>
  <si>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</si>
  <si>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</si>
  <si>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</si>
  <si>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</si>
  <si>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</si>
  <si>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</si>
  <si>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</si>
  <si>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</si>
  <si>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</si>
  <si>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</si>
  <si>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</si>
  <si>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</si>
  <si>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</si>
  <si>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</si>
  <si>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</si>
  <si>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</si>
  <si>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w złotych</t>
  </si>
  <si>
    <t>Kwota dotacji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</si>
  <si>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</si>
  <si>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</si>
  <si>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</si>
  <si>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</si>
  <si>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</si>
  <si>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</si>
  <si>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</si>
  <si>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</si>
  <si>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</si>
  <si>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</si>
  <si>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</si>
  <si>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</si>
  <si>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Lp.</t>
  </si>
  <si>
    <t>Stan środków obrotowych na początek roku</t>
  </si>
  <si>
    <t>Stan środków obrotowych na koniec roku</t>
  </si>
  <si>
    <t>§ 931</t>
  </si>
  <si>
    <t>Nazwa jednostki
 otrzymującej dotację</t>
  </si>
  <si>
    <t>Zakres</t>
  </si>
  <si>
    <t>Projekt</t>
  </si>
  <si>
    <t>Kategoria interwencji funduszy strukturalnych</t>
  </si>
  <si>
    <t>z tego:</t>
  </si>
  <si>
    <t>1.1</t>
  </si>
  <si>
    <t>1.2</t>
  </si>
  <si>
    <t>2.1</t>
  </si>
  <si>
    <t>2.2</t>
  </si>
  <si>
    <t>Dotacje</t>
  </si>
  <si>
    <t>Ogółem wydatki</t>
  </si>
  <si>
    <t>pożyczek</t>
  </si>
  <si>
    <t>kredytów</t>
  </si>
  <si>
    <t>Relacje do dochodów (w %):</t>
  </si>
  <si>
    <t>dotacje</t>
  </si>
  <si>
    <t>Wydatki
bieżące</t>
  </si>
  <si>
    <t>Wydatki
majątkowe</t>
  </si>
  <si>
    <t>Dotacje
ogółem</t>
  </si>
  <si>
    <t>Dochody ogółem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</si>
  <si>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</si>
  <si>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</si>
  <si>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</si>
  <si>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</si>
  <si>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Prognozowany wynik finansowy</t>
  </si>
  <si>
    <t>Źródło dochodów</t>
  </si>
  <si>
    <t>§*</t>
  </si>
  <si>
    <t>Wydatki na obsługę długu</t>
  </si>
  <si>
    <t>Plan z 2008 roku</t>
  </si>
  <si>
    <t>Plan na 2009 rok</t>
  </si>
  <si>
    <t>Dochody i wydatki związane z realizacją zadań z zakresu administracji rządowej zleconych gminie ustawami w 2009 r. - podlegających przekazaniu do budżetu państwa</t>
  </si>
  <si>
    <t>Dotacje przedmiotowe w 2009 r.</t>
  </si>
  <si>
    <t>Dotacje podmiotowe i celowe w roku 2009</t>
  </si>
  <si>
    <t>Starostwo Powiatowe Lubin</t>
  </si>
  <si>
    <t>Urząd Miasta Lubin</t>
  </si>
  <si>
    <t>na koszty utrzymania dziecka uczęszczającego do przedszkola w Lubinie</t>
  </si>
  <si>
    <t>ujęte w Wykazie Zadań Inwestycyjnych na 2009 rok</t>
  </si>
  <si>
    <t>na dofinansowanie zakupu pojemników na odpady segregowane</t>
  </si>
  <si>
    <t>na dofinansowanie inwestycji budowy schroniska dla bezdomnych zwierząt</t>
  </si>
  <si>
    <t>Plan wydatków (kosztów) na rok 2009</t>
  </si>
  <si>
    <t>Plan przychodów na rok 2009</t>
  </si>
  <si>
    <t>Gminnego Zakładu Gospodarki Komunalnej w Miłkowicach                                         na rok 2009</t>
  </si>
  <si>
    <t>NA ROK 2009</t>
  </si>
  <si>
    <t>0750 - dochody z najmu</t>
  </si>
  <si>
    <t>0960 - otrzymane darowizny</t>
  </si>
  <si>
    <t>0970 - pozostałe dochody (dożywianie)</t>
  </si>
  <si>
    <t>4210 - zakup materiałów i wyposażenia</t>
  </si>
  <si>
    <t>4220 - zakup artykułów żywnościowych</t>
  </si>
  <si>
    <t>4240 - zakup pomocy dydakt., książek</t>
  </si>
  <si>
    <t>4300 - zakup pozostałych usług</t>
  </si>
  <si>
    <t>Plan na 2009 r.</t>
  </si>
  <si>
    <t>PLAN PRZYCHODÓW I WYDATKÓW</t>
  </si>
  <si>
    <t>Stan środków na początek roku</t>
  </si>
  <si>
    <t>§ 0690</t>
  </si>
  <si>
    <t>§ 0750</t>
  </si>
  <si>
    <t>§ 0830</t>
  </si>
  <si>
    <t>Pozostałe przychody</t>
  </si>
  <si>
    <t>§ 3020</t>
  </si>
  <si>
    <t>§ 4010</t>
  </si>
  <si>
    <t>§ 4040</t>
  </si>
  <si>
    <t>§ 4110</t>
  </si>
  <si>
    <t>§ 4120</t>
  </si>
  <si>
    <t>§ 4170</t>
  </si>
  <si>
    <t>§ 4210</t>
  </si>
  <si>
    <t>§ 4260</t>
  </si>
  <si>
    <t>§ 4270</t>
  </si>
  <si>
    <t>§ 4280</t>
  </si>
  <si>
    <t>§ 4300</t>
  </si>
  <si>
    <t>§ 4360</t>
  </si>
  <si>
    <t>Opłaty z tytułu zakupu usług telekomunikacyjnych telefonii komórkowej.</t>
  </si>
  <si>
    <t>§ 4370</t>
  </si>
  <si>
    <t>Opłaty z tytułu zakupu usług telekomunikacyjnych telefonii stacjonarnej.</t>
  </si>
  <si>
    <t>§ 4390</t>
  </si>
  <si>
    <t>§ 4410</t>
  </si>
  <si>
    <t>§ 4430</t>
  </si>
  <si>
    <t>§ 4440</t>
  </si>
  <si>
    <t>Odpisy na zakładowy fundusz świadczeń socjalnych</t>
  </si>
  <si>
    <t>§ 4480</t>
  </si>
  <si>
    <t>§ 4530</t>
  </si>
  <si>
    <t>§ 4740</t>
  </si>
  <si>
    <t>§ 4750</t>
  </si>
  <si>
    <t>Budowa ujęcia wody i stacji uzdatniania na terenie gminy Miłkowice</t>
  </si>
  <si>
    <t>Modernizacja oczyszczalni ścieków w Miłkowicach z remontem sieci wodociągowej -II etap Remont sieci wodociągowej na terenie gminy Miłkowice</t>
  </si>
  <si>
    <t>2011-2012</t>
  </si>
  <si>
    <t>Zmiana sposobu użytkowania i modernizacja budynku po byłej stołówce w Miłkowicach z przeznaczeniem na bibliotekę, czytelnię internetową i świetlicę</t>
  </si>
  <si>
    <t>Budowa Świetlicy w Goślinowie</t>
  </si>
  <si>
    <t>Rozbudowa terenów zielonych na terenie gminy (parki, skwery, place zabaw)</t>
  </si>
  <si>
    <t>Remont dróg osiedlowych w Miłkowicach</t>
  </si>
  <si>
    <t>Remont drogi w Siedliskach wraz z infrastrukturą towarzyszącą</t>
  </si>
  <si>
    <t>Budowa dróg asfaltowych w Jakuszowie</t>
  </si>
  <si>
    <t>Budowa drogi asfaltowej na odcinku Miłkowice - Grzymalin: - 700 m</t>
  </si>
  <si>
    <t>Budowa drogi asfaltowej w Lipcach: - 400 m</t>
  </si>
  <si>
    <t>Budowa drogi asfaltowej w Gniewomirowicach: - 500 m</t>
  </si>
  <si>
    <t xml:space="preserve"> *) Ze względu na wymogi zawarte w Programie Rozwoju Obszarów Wiejskich dotyczących kwestii finansowania inwestycji zalecono aby w źródłach finansowania wykazać w 100% posiadanie środków własnych. W związku z powyższym w tabeli w wyżej wymienionych pozycj</t>
  </si>
  <si>
    <t>2007-2011</t>
  </si>
  <si>
    <t>2010-2013</t>
  </si>
  <si>
    <t>Zakup akcesoriów komputerowych, w tym programów i licencji</t>
  </si>
  <si>
    <t>Pozostałe wydatki (stanowiące koszty)</t>
  </si>
  <si>
    <t>Stan środków na koniec roku</t>
  </si>
  <si>
    <r>
      <t>Dotacja przedmiotowa z budżetu Gminy do 1 m</t>
    </r>
    <r>
      <rPr>
        <vertAlign val="superscript"/>
        <sz val="10"/>
        <rFont val="Arial CE"/>
        <family val="0"/>
      </rPr>
      <t xml:space="preserve">3 </t>
    </r>
    <r>
      <rPr>
        <sz val="10"/>
        <rFont val="Arial CE"/>
        <family val="0"/>
      </rPr>
      <t>wody</t>
    </r>
  </si>
  <si>
    <r>
      <t xml:space="preserve">* Dotacja brutto przyznana przez Gminę </t>
    </r>
    <r>
      <rPr>
        <b/>
        <sz val="10"/>
        <rFont val="Arial"/>
        <family val="2"/>
      </rPr>
      <t>150.000,00</t>
    </r>
  </si>
  <si>
    <t>PLAN DOCHODÓW I WYDATKÓW RACHUNKU DOCHODÓW WŁASNYCH</t>
  </si>
  <si>
    <t>PLACÓWEK OŚWIATOWYCH W GMINIE MIŁKOWICE</t>
  </si>
  <si>
    <t>DZIAŁ</t>
  </si>
  <si>
    <t>ROZDZIAŁ</t>
  </si>
  <si>
    <t>WYSZCZEGÓLNIENIE</t>
  </si>
  <si>
    <t>BO</t>
  </si>
  <si>
    <t>DOCHODY</t>
  </si>
  <si>
    <t>WYDATKI</t>
  </si>
  <si>
    <t>BZ</t>
  </si>
  <si>
    <t>OGÓŁEM</t>
  </si>
  <si>
    <t>BO + Dochody</t>
  </si>
  <si>
    <t>BZ + Wydatki</t>
  </si>
  <si>
    <t>dochody własne jst</t>
  </si>
  <si>
    <t>Nazwa zadania inwestycyjnego</t>
  </si>
  <si>
    <t xml:space="preserve">§ 944 </t>
  </si>
  <si>
    <t>świadczenia społeczne</t>
  </si>
  <si>
    <t>Papiery wartościowe (obligacje)</t>
  </si>
  <si>
    <t>Wykup papierów wartościowych (obligacji)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</si>
  <si>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</si>
  <si>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</si>
  <si>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</si>
  <si>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</si>
  <si>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</si>
  <si>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</si>
  <si>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</si>
  <si>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</si>
  <si>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</si>
  <si>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</si>
  <si>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udzielonych poręczeń</t>
  </si>
  <si>
    <t>6.1</t>
  </si>
  <si>
    <t>6.2</t>
  </si>
  <si>
    <t>6.3</t>
  </si>
  <si>
    <t>6.4</t>
  </si>
  <si>
    <r>
      <t xml:space="preserve">spłaty zadłużenia </t>
    </r>
    <r>
      <rPr>
        <sz val="10"/>
        <rFont val="Arial"/>
        <family val="2"/>
      </rPr>
      <t>(art. 169 ust. 1)        (2:3)</t>
    </r>
  </si>
  <si>
    <t>010</t>
  </si>
  <si>
    <t>01095</t>
  </si>
  <si>
    <t>ROLNICTWO I ŁOWIECTWO</t>
  </si>
  <si>
    <t>Pozostała działalność</t>
  </si>
  <si>
    <t>0830</t>
  </si>
  <si>
    <t>WYTWARZANIE I ZAOPATRYWANIE W ENERGIĘ ELEKTRYCZNĄ, GAZ I WODĘ</t>
  </si>
  <si>
    <t>Dostarczanie wody</t>
  </si>
  <si>
    <t>0970</t>
  </si>
  <si>
    <t>Wpływy z różnych dochodów</t>
  </si>
  <si>
    <t>GOSPODARKA MIESZKANIOWA</t>
  </si>
  <si>
    <t>Gospodarka gruntami i nieruchomościami</t>
  </si>
  <si>
    <t>0470</t>
  </si>
  <si>
    <t>Wpływy z opłat za zarząd, użytkowanie i użytkowanie wieczyste</t>
  </si>
  <si>
    <t>0690</t>
  </si>
  <si>
    <t>Wpływy z różnych opłat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</si>
  <si>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</si>
  <si>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</si>
  <si>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0920</t>
  </si>
  <si>
    <t>Pozostałe odsetki</t>
  </si>
  <si>
    <t>ADMINISTRACJA PUBLICZNA</t>
  </si>
  <si>
    <t>Urzędy gmin</t>
  </si>
  <si>
    <t>Wpływy z podatku dochodowego od osób fizycznych</t>
  </si>
  <si>
    <t>0350</t>
  </si>
  <si>
    <t>Podatek od działalności gospodarczej osób fizycznych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</si>
  <si>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</si>
  <si>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</si>
  <si>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0320</t>
  </si>
  <si>
    <t>0330</t>
  </si>
  <si>
    <t>0340</t>
  </si>
  <si>
    <t>0500</t>
  </si>
  <si>
    <t>0910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</si>
  <si>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</si>
  <si>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</si>
  <si>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</si>
  <si>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</si>
  <si>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</si>
  <si>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</si>
  <si>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</si>
  <si>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</si>
  <si>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</si>
  <si>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</si>
  <si>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skarbowej</t>
  </si>
  <si>
    <t>Wpływy z innych opłat stanowiących dochody jednostek samorządu terytorialnego na podstawie ustaw</t>
  </si>
  <si>
    <t>0410</t>
  </si>
  <si>
    <t>0480</t>
  </si>
  <si>
    <t>Wpływy z opłat za zezwolenia na sprzedaż alkoholu</t>
  </si>
  <si>
    <t>Udziały gmin w podatkach stanowiących dochód państwa</t>
  </si>
  <si>
    <t>Podatek dochodowy od osób fizycznych</t>
  </si>
  <si>
    <t>Podatek dochodowy od osób prawnych</t>
  </si>
  <si>
    <t>POMOC SPOŁECZNA</t>
  </si>
  <si>
    <t>Ośrodki pomocy społecznej</t>
  </si>
  <si>
    <t>Usługi opiekuńcze i specjalistyczne usługi opiekuńcze</t>
  </si>
  <si>
    <t>Wpływy z usług</t>
  </si>
  <si>
    <t>01010</t>
  </si>
  <si>
    <t>Infrastruktura wodociągowa i sanitacyjna wsi</t>
  </si>
  <si>
    <t>Dotacje otrzymane z funduszy celowych na finansowanie i dofinansowanie kosztów realizacji inwestycji i zakupów inwestycyjnych jednostek sektora finansów publicznych</t>
  </si>
  <si>
    <t>Środki na dofinansowanie własnych inwestycji gmin, powiatów, samorządów województw pozyskane z innych źródeł</t>
  </si>
  <si>
    <t>6260</t>
  </si>
  <si>
    <t>Urzędy wojewódzkie</t>
  </si>
  <si>
    <t>2010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</si>
  <si>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</si>
  <si>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</si>
  <si>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I OCHRONA PRZECIWPOŻAROWA</t>
  </si>
  <si>
    <t>Obrona cywilna</t>
  </si>
  <si>
    <t>2360</t>
  </si>
  <si>
    <t>Dochody jednostek samorządu terytorialnego związane z realizacją zadań z zakresu administracji rządowej oraz innych zadań zleconych ustawami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</si>
  <si>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</si>
  <si>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</si>
  <si>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</si>
  <si>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</si>
  <si>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Część równoważąca subwencji ogólnej dla gmin</t>
  </si>
  <si>
    <t>Różne rozliczenia finansowe</t>
  </si>
  <si>
    <t>801</t>
  </si>
  <si>
    <t>80101</t>
  </si>
  <si>
    <t>Środki na dofinansowanie własnych zadań bieżących gmin, powiatów, samorządów województw pozyskane z innych źródeł</t>
  </si>
  <si>
    <t>80110</t>
  </si>
  <si>
    <t>Gimnazja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</si>
  <si>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</si>
  <si>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</si>
  <si>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społeczne</t>
  </si>
  <si>
    <t>dotacje celowe z budżetu państwa na zadania zlecone</t>
  </si>
  <si>
    <t>subwencje i dotacje na realizację zadań własnych gmin</t>
  </si>
  <si>
    <t>RÓŻNE ROZLICZENIA</t>
  </si>
  <si>
    <t>OŚWIATA I WYCHOWANIE</t>
  </si>
  <si>
    <t>2030</t>
  </si>
  <si>
    <t>Dotacje celowe otrzymane z budżetu państwa na realizację własnych zadań bieżących gmin</t>
  </si>
  <si>
    <t>OCHRONA ZDROWIA</t>
  </si>
  <si>
    <t>Lecznictwo ambulatoryjne</t>
  </si>
  <si>
    <t>EDUKACYJNA OPIEKA WYCHOWAWCZA</t>
  </si>
  <si>
    <t>GOSPODARKA KOMUNALNA I OCHRONA ŚRODOWISKA</t>
  </si>
  <si>
    <t>KULTURA I OCHRONA DZIEDZICTWA NARODOWEGO</t>
  </si>
  <si>
    <t>Domy i ośrodki kultury, świetlice i kluby</t>
  </si>
  <si>
    <t>80195</t>
  </si>
  <si>
    <t xml:space="preserve">Biblioteki </t>
  </si>
  <si>
    <t>Biblioteki</t>
  </si>
  <si>
    <t>Wynagro-
dzenia i pochodne</t>
  </si>
  <si>
    <t>% (rubr. 5:4)</t>
  </si>
  <si>
    <t>01008</t>
  </si>
  <si>
    <t>Melioracje wodne</t>
  </si>
  <si>
    <t>01011</t>
  </si>
  <si>
    <t>Stacja Chemiczno-Rolnicza</t>
  </si>
  <si>
    <t>01030</t>
  </si>
  <si>
    <t>Izby rolnicze</t>
  </si>
  <si>
    <t>400</t>
  </si>
  <si>
    <t>40002</t>
  </si>
  <si>
    <t>600</t>
  </si>
  <si>
    <t>TRANSPORT I ŁĄCZNOŚĆ</t>
  </si>
  <si>
    <t>60016</t>
  </si>
  <si>
    <t>Drogi publiczne gminne</t>
  </si>
  <si>
    <t>700</t>
  </si>
  <si>
    <t>70005</t>
  </si>
  <si>
    <t>Gospodarka gruntami</t>
  </si>
  <si>
    <t>70095</t>
  </si>
  <si>
    <t>710</t>
  </si>
  <si>
    <t>DZIAŁALNOŚĆ USŁUGOWA</t>
  </si>
  <si>
    <t>71004</t>
  </si>
  <si>
    <t>Plany zagospodarowania przestrzennego</t>
  </si>
  <si>
    <t>750</t>
  </si>
  <si>
    <t>75011</t>
  </si>
  <si>
    <t>75022</t>
  </si>
  <si>
    <t>Rady gmin</t>
  </si>
  <si>
    <t>75023</t>
  </si>
  <si>
    <t>75075</t>
  </si>
  <si>
    <t>Promocja jednostek samorządu terytorialnego</t>
  </si>
  <si>
    <t>751</t>
  </si>
  <si>
    <t>75101</t>
  </si>
  <si>
    <t>Urzędy naczelnych organów władzy państwowej, kontroli i ochrony prawa</t>
  </si>
  <si>
    <t>754</t>
  </si>
  <si>
    <t>75403</t>
  </si>
  <si>
    <t>Jednostki terenowe Policji</t>
  </si>
  <si>
    <t>75412</t>
  </si>
  <si>
    <t>Ochotnicze straże pożarne</t>
  </si>
  <si>
    <t>75414</t>
  </si>
  <si>
    <t>756</t>
  </si>
  <si>
    <t>DOCHODY OD OSÓB PRAWNYCH, OSÓB FIZYCZNYCH I OD INNYCH JEDNOSTEK NIEPOSIADAJĄCYCH OSOBOWOŚCI PRAWNEJ ORAZ WYDATKI ZWIĄZANE Z ICH POBOREM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</si>
  <si>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</si>
  <si>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</si>
  <si>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</si>
  <si>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</si>
  <si>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</si>
  <si>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gminnego</t>
  </si>
  <si>
    <t>758</t>
  </si>
  <si>
    <t>75818</t>
  </si>
  <si>
    <t>Rezerwy ogólne i celowe</t>
  </si>
  <si>
    <t>Szkoły podstawowe, w tym:</t>
  </si>
  <si>
    <t xml:space="preserve">   -    Szkoła Podstawowa w Rzeszotarach</t>
  </si>
  <si>
    <t>80103</t>
  </si>
  <si>
    <t>Oddziały przedszkolne w szkołach, w tym:</t>
  </si>
  <si>
    <t>80113</t>
  </si>
  <si>
    <t>Dowożenie uczniów do szkół</t>
  </si>
  <si>
    <t>851</t>
  </si>
  <si>
    <t>85121</t>
  </si>
  <si>
    <t>85153</t>
  </si>
  <si>
    <t>Zwalczanie narkomanii</t>
  </si>
  <si>
    <t>85154</t>
  </si>
  <si>
    <t>Przeciwdziałanie alkoholizmowi</t>
  </si>
  <si>
    <t>852</t>
  </si>
  <si>
    <t>85202</t>
  </si>
  <si>
    <t>Domy pomocy społecznej</t>
  </si>
  <si>
    <t>85212</t>
  </si>
  <si>
    <t>85213</t>
  </si>
  <si>
    <t>85214</t>
  </si>
  <si>
    <t>85215</t>
  </si>
  <si>
    <t>Dodatki mieszkaniowe</t>
  </si>
  <si>
    <t>85219</t>
  </si>
  <si>
    <t>85295</t>
  </si>
  <si>
    <t>854</t>
  </si>
  <si>
    <t>020</t>
  </si>
  <si>
    <t>02001</t>
  </si>
  <si>
    <t>Gospodarka leśna</t>
  </si>
  <si>
    <t>LEŚNICTWO</t>
  </si>
  <si>
    <t>dochody z majątku gminy</t>
  </si>
  <si>
    <t>85404</t>
  </si>
  <si>
    <t>Wczesne wspomaganie rozwoju dziecka</t>
  </si>
  <si>
    <t>85412</t>
  </si>
  <si>
    <t>Rozbudowa gminnej sieci wodociągowej w Lipcach</t>
  </si>
  <si>
    <t>w tym dotacja dla GZGK 50.000zł</t>
  </si>
  <si>
    <t>dotacja celowa na dofinans. inwestycji</t>
  </si>
  <si>
    <t>Rozbudowa gminnej sieci wodociągowej w Kochlicach</t>
  </si>
  <si>
    <t>w tym dotacja dla GZGK 60.000zł</t>
  </si>
  <si>
    <t>Budowa kanalizacji sanitarnej przy ul. Leśnej w Rzeszotarach</t>
  </si>
  <si>
    <t>w tym dotacja dla GZGK  30.000zł</t>
  </si>
  <si>
    <t>Pożyczka i dotacja z WFOŚIGW</t>
  </si>
  <si>
    <t>Rozbudowa kanalizacji sanitarnej w Dobrzejowie</t>
  </si>
  <si>
    <t>w tym dotacja dla GZGK  20.000zł</t>
  </si>
  <si>
    <t>Pożyczka z WFOŚIGW</t>
  </si>
  <si>
    <t>Urząd Gminy Miłkowice i Gm. Chojnów</t>
  </si>
  <si>
    <t>Remont dróg osiedlowych w Miłkowicach (ul. 22-lipca)</t>
  </si>
  <si>
    <t xml:space="preserve">Budowa drogi asfaltowej w Ulesiu - droga do obwodnicy </t>
  </si>
  <si>
    <t>Remont drogi równoległej do ul. Legnickiej w Rzeszotarach</t>
  </si>
  <si>
    <t>Remont dróg transportu rolnego w Studnicy</t>
  </si>
  <si>
    <t xml:space="preserve">Remont dróg transportu rolnego w Miłkowicach </t>
  </si>
  <si>
    <t>Remont dróg transportu rolnego w Grzymalinie ul. Błotna</t>
  </si>
  <si>
    <t>Remont dróg transportu rolnego w Siedliskach</t>
  </si>
  <si>
    <t>Remont drogi transportu rolnego w Rzeszotarach ul. Cegielniana)</t>
  </si>
  <si>
    <t>Remont drogi transportu rolnego w Kochlicach ul. Sportowa)</t>
  </si>
  <si>
    <t>Dział 801: OŚWIATA I WYCHOWANIE</t>
  </si>
  <si>
    <t>Rozdział 80113 : Dowóz uczniów do szkół</t>
  </si>
  <si>
    <t>Remont i modernizacja autobusu gminnego</t>
  </si>
  <si>
    <t>kredyty
i pożyczki</t>
  </si>
  <si>
    <t>dotacje i śr. z innych źródeł</t>
  </si>
  <si>
    <t>Rozdział 80195 : Pozostała działalność</t>
  </si>
  <si>
    <t>Remont pokrycia dachowego w SP w Miłkowicach</t>
  </si>
  <si>
    <t>Remont pokrycia dachowego w SP w Miłkowicach (mały budynek)</t>
  </si>
  <si>
    <t>Rozdział  90005: Ochrona powietrza atmosferycznego i klimatu</t>
  </si>
  <si>
    <t>Utworzenie Centrum Edukacyjno-Kulturalnego w miejscowości Ulesie</t>
  </si>
  <si>
    <t>Rozdział  92116: Biblioteki</t>
  </si>
  <si>
    <t>realizacja uzależniona od otrz. dofin. UE</t>
  </si>
  <si>
    <t>Dział 926 : KULTURA FIZYCZNA I SPORT</t>
  </si>
  <si>
    <t>Rozdział  92601: Obiekty sportowe</t>
  </si>
  <si>
    <t>Budowa zespołu boisk i urządzeń sportowych z modułowym systemowym budynkiem zaplecza boisk ORLIK 2012 w Miłkowicach</t>
  </si>
  <si>
    <t>Przebudowa obiektu sportowego w Miłkowicach</t>
  </si>
  <si>
    <r>
      <t xml:space="preserve">dotacja 0,20zł do 1 m 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 xml:space="preserve"> powierzchni cmentarzy</t>
    </r>
  </si>
  <si>
    <r>
      <t xml:space="preserve">dotacja 7,42zł do 1 m 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 xml:space="preserve"> powierzchni lokali mieszkalnych</t>
    </r>
  </si>
  <si>
    <r>
      <t>dotacja 3,00zł do 1 km</t>
    </r>
    <r>
      <rPr>
        <sz val="10"/>
        <rFont val="Arial CE"/>
        <family val="0"/>
      </rPr>
      <t xml:space="preserve"> przewozu uczniów do szkół</t>
    </r>
  </si>
  <si>
    <r>
      <t>DOCHODY BIEŻĄCE</t>
    </r>
    <r>
      <rPr>
        <b/>
        <sz val="10"/>
        <rFont val="Arial CE"/>
        <family val="0"/>
      </rPr>
      <t xml:space="preserve"> (rubr. 10+11+12+13)</t>
    </r>
  </si>
  <si>
    <r>
      <t xml:space="preserve">DOCHODY MAJĄTKOWE </t>
    </r>
    <r>
      <rPr>
        <b/>
        <sz val="10"/>
        <rFont val="Arial CE"/>
        <family val="0"/>
      </rPr>
      <t>(rubr. 7+8)</t>
    </r>
  </si>
  <si>
    <t>w tym dotacja dla Gminy Chojnów 50.000zł</t>
  </si>
  <si>
    <t>Plan
na 2009 r.
(5+10)</t>
  </si>
  <si>
    <t>Wydatki bieżące (6+7+8+9</t>
  </si>
  <si>
    <t>Wydatki na poręczenia i gwarancje</t>
  </si>
  <si>
    <t>Remont i modernizacja remizy w OSP Grzymalin</t>
  </si>
  <si>
    <t>na podwyższenie kwalifikacji zawodowych personelu medycznego</t>
  </si>
  <si>
    <t>Starostwo Powiatowe Legnica</t>
  </si>
  <si>
    <t>na remont chodnika w Miłkowicach</t>
  </si>
  <si>
    <t>Gmina Chojnów</t>
  </si>
  <si>
    <t>na dofinansowanie inwestycji w Stacji Uzdatniania Wody w Okmianach</t>
  </si>
  <si>
    <t>Komenda Wojewódzka Policji</t>
  </si>
  <si>
    <t>na dofinansowanie zakupu radiowozu</t>
  </si>
  <si>
    <t>Zakup materiałów i wyposażenia</t>
  </si>
  <si>
    <t>Zakup usług remontowych</t>
  </si>
  <si>
    <t>Szkolno-Gimnazjalny Zespół Szkół w Miłkowicach</t>
  </si>
  <si>
    <t>Razem 80101:</t>
  </si>
  <si>
    <t>§ 4700</t>
  </si>
  <si>
    <r>
      <t xml:space="preserve">dotacja 1,25zł do 1 m 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 xml:space="preserve"> wody zakupionej przez gospodarstwa domowe</t>
    </r>
  </si>
  <si>
    <t>Ogółem kwota brutto dotacji</t>
  </si>
  <si>
    <r>
      <t xml:space="preserve">dotacja 3,32zł do 1 m 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 xml:space="preserve"> ścieków odprowadzonych przez gospodarstwa domowe</t>
    </r>
  </si>
  <si>
    <t>75404</t>
  </si>
  <si>
    <t>Komendy wojewódzkie Policji</t>
  </si>
  <si>
    <t>Rozdział 75404 : Komendy wojewódzkie Policji</t>
  </si>
  <si>
    <t xml:space="preserve">Dofinansowanie zakupu radiowozu dla Policji </t>
  </si>
  <si>
    <t>zespół</t>
  </si>
  <si>
    <t>sp</t>
  </si>
  <si>
    <t>gops</t>
  </si>
  <si>
    <t>UG</t>
  </si>
  <si>
    <t>Budowa kanalizacji sanitarnej przy ul.Leśnej w Rzeszotarach</t>
  </si>
  <si>
    <t xml:space="preserve">Budowa sieci kanalizacji sanitarnej wraz z przyłączami dla miejscowości Jezierzany, Jakuszów, Pątnówek i Bobrów </t>
  </si>
  <si>
    <t xml:space="preserve">Budowa sieci kanalizacji sanitarnej wraz z przyłączami dla miejscowości Gniewomirowice i Goślinów </t>
  </si>
  <si>
    <t>Budowa sieci kanalizacji sanitarnej wraz z przyłączami na terenie Gminy Miłkowice dla miejscowości Ulesie i Lipce</t>
  </si>
  <si>
    <t>2010-2012</t>
  </si>
  <si>
    <t>Przebudowa sieci kanalizacji sanitarnej w obrębie wsi Miłkowice (w tym modernizacja kolektora sanitarnego na ulicy Proletariackiej w Miłkowicach)</t>
  </si>
  <si>
    <t>Modernizacja i remont budynku OSP w Grzymalinie</t>
  </si>
  <si>
    <t>Budowa kompleksu boisk sportowych z modułowym budynkiem zaplecza boisk ORLIK 2012 w Miłkowicach</t>
  </si>
  <si>
    <t>Budowa wielofunkcyjnych boisk sportowych na terenie Gminy Miłkowice</t>
  </si>
  <si>
    <t>2008-2013</t>
  </si>
  <si>
    <t>Remont drogi gminnej w Rzeszotarach, ul.Cegielniana (dz.nr 94,104) oraz w Dobrzejowie (dz.nr 770/1 i 762)</t>
  </si>
  <si>
    <t>Budowa drogi asfaltowej na odcinku Grzymalin-Głuchowice - 2000 m</t>
  </si>
  <si>
    <t>Zakup pojemników niezbędnych do prowadzenia selektywnej zbiórki odpadów na terenie gminy Miłkowice wraz z belownicą</t>
  </si>
  <si>
    <t>754,75412</t>
  </si>
  <si>
    <t>921,92110</t>
  </si>
  <si>
    <t>05</t>
  </si>
  <si>
    <t>700,70005</t>
  </si>
  <si>
    <t>10.</t>
  </si>
  <si>
    <t>11.</t>
  </si>
  <si>
    <t>12.</t>
  </si>
  <si>
    <t>13.</t>
  </si>
  <si>
    <t>600,60016</t>
  </si>
  <si>
    <t>14.</t>
  </si>
  <si>
    <r>
      <t>Priorytet 4</t>
    </r>
    <r>
      <rPr>
        <sz val="10"/>
        <rFont val="Arial"/>
        <family val="2"/>
      </rPr>
      <t xml:space="preserve"> : Poprawa stanu środowiska naturalnego oraz bezpieczeństwa ekologicznego i przeciwpowodziowego Dolnego Śląska "Środowisko i bezpieczeństwo ekologiczne"</t>
    </r>
  </si>
  <si>
    <r>
      <t xml:space="preserve">Nazwa Projektu: </t>
    </r>
    <r>
      <rPr>
        <i/>
        <sz val="10"/>
        <rFont val="Arial"/>
        <family val="2"/>
      </rPr>
      <t>Budowa sieci  kanalizacji sanitarnej wraz z przyłączami dla miejscowości Jezierzany, Jakuszów, Pątnówek i Bobrów</t>
    </r>
  </si>
  <si>
    <r>
      <t>Nazwa Projektu 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Budowa sieci  kanalizacji sanitarnej wraz z przyłączami dla miejscowości Gniewomirowice, Goślinów.</t>
    </r>
  </si>
  <si>
    <r>
      <t xml:space="preserve">Nazwa Projektu: </t>
    </r>
    <r>
      <rPr>
        <i/>
        <sz val="10"/>
        <rFont val="Arial"/>
        <family val="2"/>
      </rPr>
      <t>Budowa sieci kanalizacji sanitarnej wraz z przyłączami na terenie gminy Miłkowice dla miejscowości Ulesie i Lipce.</t>
    </r>
  </si>
  <si>
    <r>
      <t xml:space="preserve">Program: </t>
    </r>
    <r>
      <rPr>
        <sz val="10"/>
        <rFont val="Arial"/>
        <family val="2"/>
      </rPr>
      <t>Program Rozwoju Obszarów Wiejskich</t>
    </r>
  </si>
  <si>
    <r>
      <t xml:space="preserve">Oś 3: </t>
    </r>
    <r>
      <rPr>
        <sz val="10"/>
        <rFont val="Arial"/>
        <family val="2"/>
      </rPr>
      <t>Podstawowe usługi dla gospodarki i ludności wiejskiej</t>
    </r>
  </si>
  <si>
    <r>
      <t>Działanie:</t>
    </r>
    <r>
      <rPr>
        <sz val="10"/>
        <rFont val="Arial"/>
        <family val="2"/>
      </rPr>
      <t xml:space="preserve"> Obszary wiejskie</t>
    </r>
  </si>
  <si>
    <r>
      <t xml:space="preserve">Nazwa projektu: </t>
    </r>
    <r>
      <rPr>
        <i/>
        <sz val="10"/>
        <rFont val="Arial"/>
        <family val="2"/>
      </rPr>
      <t>Budowa sieci wodociągowej (tranzytowej) ze wsi Niedźwiedzice do wsi Miłkowice oraz udział w budowie Stacji Uzdatniania Wody w Okmianach</t>
    </r>
  </si>
  <si>
    <r>
      <t xml:space="preserve">Nazwa Projektu: </t>
    </r>
    <r>
      <rPr>
        <i/>
        <sz val="10"/>
        <rFont val="Arial"/>
        <family val="2"/>
      </rPr>
      <t>Modernizacja i remont budynku OSP w Grzymalinie</t>
    </r>
  </si>
  <si>
    <r>
      <t xml:space="preserve">Nazwa Projektu:  </t>
    </r>
    <r>
      <rPr>
        <i/>
        <sz val="10"/>
        <rFont val="Arial"/>
        <family val="2"/>
      </rPr>
      <t>Zmiana sposobu użytkowania i modernizacja budynku po byłej stołówce w Miłkowicach z przeznaczeniem na bibliotekę, czytelnię internetową i świetlicę</t>
    </r>
  </si>
  <si>
    <r>
      <t xml:space="preserve">Nazwa Projektu: </t>
    </r>
    <r>
      <rPr>
        <i/>
        <sz val="10"/>
        <rFont val="Arial"/>
        <family val="2"/>
      </rPr>
      <t>Utworzenie Centrum Edukacyjno - Kulturalnego w Ulesiu</t>
    </r>
  </si>
  <si>
    <r>
      <t>Nazwa Projektu: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Budowa Świetlicy w Goślinowie</t>
    </r>
  </si>
  <si>
    <r>
      <t xml:space="preserve">Program: </t>
    </r>
    <r>
      <rPr>
        <sz val="10"/>
        <rFont val="Arial"/>
        <family val="2"/>
      </rPr>
      <t>Program Operacyjny Innowacyjna Gospodarka</t>
    </r>
  </si>
  <si>
    <r>
      <t>Priorytet 6</t>
    </r>
    <r>
      <rPr>
        <sz val="10"/>
        <rFont val="Arial"/>
        <family val="2"/>
      </rPr>
      <t xml:space="preserve"> : Polska gospodarka na rynku międzynarodowym</t>
    </r>
  </si>
  <si>
    <r>
      <t xml:space="preserve">Działanie 6.2 </t>
    </r>
    <r>
      <rPr>
        <i/>
        <sz val="10"/>
        <rFont val="Arial"/>
        <family val="2"/>
      </rPr>
      <t>Rozwój sieci centrów obsługi inwestorów i eksporterów oraz powstawanie nowych terenów inwestycyjnych</t>
    </r>
  </si>
  <si>
    <t>Remont remizy oraz świetlicy w Rzeszotarach</t>
  </si>
  <si>
    <t>Remont świetlicy wiejskiej w Miłkowicach</t>
  </si>
  <si>
    <t>Zakup sprzętu do utrzymania boisk</t>
  </si>
  <si>
    <t>dotacja celowa na dofinansowanie zakupu podsetów scenicznych</t>
  </si>
  <si>
    <t>na dofinansowanie zakupu opon do autobusu gminnego</t>
  </si>
  <si>
    <t>na rozbudowę sieci wodociągowej w Lipcach</t>
  </si>
  <si>
    <t>na rozbudowę sieci wodociągowej w Kochlicach</t>
  </si>
  <si>
    <t>na rozbudowę kanalizacji sanitarnej w Dobrzejowie</t>
  </si>
  <si>
    <t>na rozbudowę kanalizacji sanitarnej w Rzeszotarach ul. Leśna</t>
  </si>
  <si>
    <t>upowszechnianie i krzewienie kultury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</si>
</sst>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50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11"/>
      <name val="Arial CE"/>
      <family val="0"/>
    </font>
    <font>
      <i/>
      <sz val="12"/>
      <name val="Arial CE"/>
      <family val="0"/>
    </font>
    <font>
      <b/>
      <sz val="9"/>
      <name val="Arial CE"/>
      <family val="0"/>
    </font>
    <font>
      <sz val="11"/>
      <name val="Arial CE"/>
      <family val="0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 CE"/>
      <family val="0"/>
    </font>
    <font>
      <vertAlign val="superscript"/>
      <sz val="10"/>
      <name val="Arial CE"/>
      <family val="0"/>
    </font>
    <font>
      <i/>
      <sz val="10"/>
      <name val="Arial"/>
      <family val="2"/>
    </font>
    <font>
      <sz val="10"/>
      <name val="Times New Roman CE"/>
      <family val="1"/>
    </font>
    <font>
      <sz val="14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name val="Verdana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sz val="11"/>
      <name val="Verdana"/>
      <family val="2"/>
    </font>
    <font>
      <sz val="14"/>
      <name val="Arial CE"/>
      <family val="0"/>
    </font>
    <font>
      <i/>
      <sz val="14"/>
      <name val="Arial CE"/>
      <family val="0"/>
    </font>
    <font>
      <b/>
      <i/>
      <sz val="10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sz val="9"/>
      <color indexed="12"/>
      <name val="Arial"/>
      <family val="2"/>
    </font>
    <font>
      <sz val="11"/>
      <color indexed="12"/>
      <name val="Arial"/>
      <family val="2"/>
    </font>
    <font>
      <sz val="12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 style="medium"/>
      <right style="medium"/>
      <top style="thin"/>
      <bottom style="medium"/>
    </border>
    <border>
      <left style="thin"/>
      <right style="thin"/>
      <top style="medium"/>
      <bottom style="hair"/>
    </border>
    <border>
      <left style="medium"/>
      <right style="medium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medium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 style="medium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6" xfId="0" applyBorder="1" applyAlignment="1">
      <alignment vertical="center" wrapText="1"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49" fontId="18" fillId="0" borderId="6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0" applyFon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3" fontId="0" fillId="0" borderId="6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49" fontId="24" fillId="0" borderId="3" xfId="0" applyNumberFormat="1" applyFont="1" applyBorder="1" applyAlignment="1">
      <alignment horizontal="center" vertical="center" wrapText="1"/>
    </xf>
    <xf numFmtId="3" fontId="24" fillId="0" borderId="3" xfId="0" applyNumberFormat="1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3" xfId="0" applyFont="1" applyBorder="1" applyAlignment="1">
      <alignment horizontal="left" vertical="center" wrapText="1"/>
    </xf>
    <xf numFmtId="3" fontId="0" fillId="0" borderId="0" xfId="0" applyNumberFormat="1" applyBorder="1" applyAlignment="1">
      <alignment vertical="center"/>
    </xf>
    <xf numFmtId="0" fontId="1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3" fontId="0" fillId="0" borderId="5" xfId="0" applyNumberFormat="1" applyBorder="1" applyAlignment="1">
      <alignment vertical="center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5" fillId="0" borderId="0" xfId="0" applyFont="1" applyAlignment="1">
      <alignment horizontal="center"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3" fontId="0" fillId="0" borderId="5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3" fontId="2" fillId="0" borderId="1" xfId="0" applyNumberFormat="1" applyFont="1" applyBorder="1" applyAlignment="1">
      <alignment vertical="center"/>
    </xf>
    <xf numFmtId="9" fontId="0" fillId="0" borderId="2" xfId="0" applyNumberFormat="1" applyBorder="1" applyAlignment="1">
      <alignment vertical="center"/>
    </xf>
    <xf numFmtId="9" fontId="0" fillId="0" borderId="3" xfId="0" applyNumberFormat="1" applyBorder="1" applyAlignment="1">
      <alignment vertical="center"/>
    </xf>
    <xf numFmtId="9" fontId="0" fillId="0" borderId="4" xfId="0" applyNumberFormat="1" applyBorder="1" applyAlignment="1">
      <alignment vertical="center"/>
    </xf>
    <xf numFmtId="9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/>
    </xf>
    <xf numFmtId="0" fontId="30" fillId="0" borderId="0" xfId="18" applyFont="1">
      <alignment/>
      <protection/>
    </xf>
    <xf numFmtId="0" fontId="30" fillId="0" borderId="0" xfId="18" applyFont="1" applyBorder="1">
      <alignment/>
      <protection/>
    </xf>
    <xf numFmtId="0" fontId="30" fillId="0" borderId="1" xfId="18" applyFont="1" applyBorder="1">
      <alignment/>
      <protection/>
    </xf>
    <xf numFmtId="0" fontId="30" fillId="0" borderId="9" xfId="18" applyFont="1" applyBorder="1">
      <alignment/>
      <protection/>
    </xf>
    <xf numFmtId="0" fontId="30" fillId="0" borderId="10" xfId="18" applyFont="1" applyBorder="1">
      <alignment/>
      <protection/>
    </xf>
    <xf numFmtId="0" fontId="30" fillId="0" borderId="0" xfId="18" applyFont="1" applyAlignment="1">
      <alignment horizontal="center"/>
      <protection/>
    </xf>
    <xf numFmtId="3" fontId="4" fillId="0" borderId="1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9" fillId="0" borderId="0" xfId="18" applyFont="1">
      <alignment/>
      <protection/>
    </xf>
    <xf numFmtId="0" fontId="14" fillId="0" borderId="0" xfId="18" applyFont="1" applyAlignment="1">
      <alignment vertical="center"/>
      <protection/>
    </xf>
    <xf numFmtId="0" fontId="9" fillId="0" borderId="0" xfId="18" applyFont="1" applyAlignment="1">
      <alignment vertical="center"/>
      <protection/>
    </xf>
    <xf numFmtId="0" fontId="9" fillId="0" borderId="0" xfId="18" applyFont="1" applyBorder="1" applyAlignment="1">
      <alignment vertical="center"/>
      <protection/>
    </xf>
    <xf numFmtId="0" fontId="38" fillId="0" borderId="0" xfId="18" applyFont="1" applyAlignment="1">
      <alignment vertical="center"/>
      <protection/>
    </xf>
    <xf numFmtId="49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3" fontId="7" fillId="0" borderId="0" xfId="0" applyNumberFormat="1" applyFont="1" applyAlignment="1">
      <alignment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/>
    </xf>
    <xf numFmtId="3" fontId="24" fillId="0" borderId="5" xfId="0" applyNumberFormat="1" applyFont="1" applyBorder="1" applyAlignment="1">
      <alignment vertical="center" wrapText="1"/>
    </xf>
    <xf numFmtId="49" fontId="24" fillId="0" borderId="6" xfId="0" applyNumberFormat="1" applyFont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3" fontId="24" fillId="0" borderId="6" xfId="0" applyNumberFormat="1" applyFont="1" applyBorder="1" applyAlignment="1">
      <alignment vertical="center" wrapText="1"/>
    </xf>
    <xf numFmtId="0" fontId="24" fillId="0" borderId="5" xfId="0" applyFont="1" applyBorder="1" applyAlignment="1">
      <alignment horizontal="left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3" fontId="24" fillId="0" borderId="11" xfId="0" applyNumberFormat="1" applyFont="1" applyBorder="1" applyAlignment="1">
      <alignment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3" fontId="24" fillId="0" borderId="12" xfId="0" applyNumberFormat="1" applyFont="1" applyBorder="1" applyAlignment="1">
      <alignment vertical="center" wrapText="1"/>
    </xf>
    <xf numFmtId="0" fontId="20" fillId="2" borderId="13" xfId="0" applyFont="1" applyFill="1" applyBorder="1" applyAlignment="1">
      <alignment horizontal="center" textRotation="90" wrapText="1"/>
    </xf>
    <xf numFmtId="0" fontId="20" fillId="2" borderId="14" xfId="0" applyFont="1" applyFill="1" applyBorder="1" applyAlignment="1">
      <alignment horizontal="center" textRotation="90" wrapText="1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20" fillId="2" borderId="15" xfId="0" applyFont="1" applyFill="1" applyBorder="1" applyAlignment="1">
      <alignment wrapText="1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9" fontId="0" fillId="0" borderId="5" xfId="0" applyNumberForma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3" fontId="19" fillId="3" borderId="1" xfId="0" applyNumberFormat="1" applyFont="1" applyFill="1" applyBorder="1" applyAlignment="1">
      <alignment vertical="center"/>
    </xf>
    <xf numFmtId="3" fontId="5" fillId="3" borderId="13" xfId="0" applyNumberFormat="1" applyFont="1" applyFill="1" applyBorder="1" applyAlignment="1">
      <alignment vertical="center"/>
    </xf>
    <xf numFmtId="3" fontId="7" fillId="4" borderId="19" xfId="0" applyNumberFormat="1" applyFont="1" applyFill="1" applyBorder="1" applyAlignment="1">
      <alignment vertical="center"/>
    </xf>
    <xf numFmtId="3" fontId="7" fillId="4" borderId="20" xfId="0" applyNumberFormat="1" applyFont="1" applyFill="1" applyBorder="1" applyAlignment="1">
      <alignment vertical="center"/>
    </xf>
    <xf numFmtId="3" fontId="7" fillId="4" borderId="21" xfId="0" applyNumberFormat="1" applyFont="1" applyFill="1" applyBorder="1" applyAlignment="1">
      <alignment vertical="center"/>
    </xf>
    <xf numFmtId="3" fontId="7" fillId="4" borderId="22" xfId="0" applyNumberFormat="1" applyFont="1" applyFill="1" applyBorder="1" applyAlignment="1">
      <alignment vertical="center"/>
    </xf>
    <xf numFmtId="3" fontId="7" fillId="4" borderId="23" xfId="0" applyNumberFormat="1" applyFont="1" applyFill="1" applyBorder="1" applyAlignment="1">
      <alignment vertical="center"/>
    </xf>
    <xf numFmtId="3" fontId="7" fillId="4" borderId="24" xfId="0" applyNumberFormat="1" applyFont="1" applyFill="1" applyBorder="1" applyAlignment="1">
      <alignment vertical="center"/>
    </xf>
    <xf numFmtId="3" fontId="19" fillId="4" borderId="19" xfId="0" applyNumberFormat="1" applyFont="1" applyFill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18" fillId="0" borderId="1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center" wrapText="1"/>
    </xf>
    <xf numFmtId="3" fontId="7" fillId="4" borderId="18" xfId="0" applyNumberFormat="1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0" fillId="0" borderId="12" xfId="0" applyBorder="1" applyAlignment="1">
      <alignment vertical="top" wrapText="1"/>
    </xf>
    <xf numFmtId="0" fontId="21" fillId="0" borderId="1" xfId="0" applyFont="1" applyBorder="1" applyAlignment="1">
      <alignment horizontal="center" vertical="center"/>
    </xf>
    <xf numFmtId="0" fontId="0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3" fontId="11" fillId="0" borderId="2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49" fontId="40" fillId="3" borderId="1" xfId="0" applyNumberFormat="1" applyFont="1" applyFill="1" applyBorder="1" applyAlignment="1">
      <alignment horizontal="center"/>
    </xf>
    <xf numFmtId="0" fontId="40" fillId="3" borderId="1" xfId="0" applyFont="1" applyFill="1" applyBorder="1" applyAlignment="1">
      <alignment horizontal="center" vertical="center"/>
    </xf>
    <xf numFmtId="0" fontId="40" fillId="3" borderId="1" xfId="0" applyFont="1" applyFill="1" applyBorder="1" applyAlignment="1">
      <alignment horizontal="center"/>
    </xf>
    <xf numFmtId="0" fontId="41" fillId="3" borderId="1" xfId="0" applyFont="1" applyFill="1" applyBorder="1" applyAlignment="1">
      <alignment horizontal="center" vertical="center"/>
    </xf>
    <xf numFmtId="0" fontId="40" fillId="3" borderId="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9" fillId="0" borderId="27" xfId="18" applyFont="1" applyBorder="1" applyAlignment="1">
      <alignment horizontal="center" vertical="center"/>
      <protection/>
    </xf>
    <xf numFmtId="0" fontId="9" fillId="0" borderId="13" xfId="18" applyFont="1" applyBorder="1" applyAlignment="1">
      <alignment vertical="center"/>
      <protection/>
    </xf>
    <xf numFmtId="0" fontId="32" fillId="0" borderId="0" xfId="18" applyFont="1" applyBorder="1" applyAlignment="1">
      <alignment horizontal="center" vertical="top" wrapText="1"/>
      <protection/>
    </xf>
    <xf numFmtId="0" fontId="37" fillId="2" borderId="28" xfId="18" applyFont="1" applyFill="1" applyBorder="1" applyAlignment="1">
      <alignment horizontal="center" vertical="center" wrapText="1"/>
      <protection/>
    </xf>
    <xf numFmtId="0" fontId="37" fillId="2" borderId="29" xfId="18" applyFont="1" applyFill="1" applyBorder="1" applyAlignment="1">
      <alignment horizontal="center" vertical="center" wrapText="1"/>
      <protection/>
    </xf>
    <xf numFmtId="3" fontId="25" fillId="0" borderId="13" xfId="18" applyNumberFormat="1" applyFont="1" applyBorder="1" applyAlignment="1">
      <alignment horizontal="center" vertical="center"/>
      <protection/>
    </xf>
    <xf numFmtId="0" fontId="32" fillId="0" borderId="13" xfId="18" applyFont="1" applyBorder="1" applyAlignment="1">
      <alignment horizontal="center" vertical="center"/>
      <protection/>
    </xf>
    <xf numFmtId="0" fontId="19" fillId="0" borderId="12" xfId="0" applyFont="1" applyBorder="1" applyAlignment="1">
      <alignment horizontal="center" vertical="center"/>
    </xf>
    <xf numFmtId="3" fontId="18" fillId="0" borderId="12" xfId="0" applyNumberFormat="1" applyFont="1" applyBorder="1" applyAlignment="1">
      <alignment vertical="center"/>
    </xf>
    <xf numFmtId="3" fontId="19" fillId="4" borderId="18" xfId="0" applyNumberFormat="1" applyFont="1" applyFill="1" applyBorder="1" applyAlignment="1">
      <alignment vertical="center"/>
    </xf>
    <xf numFmtId="0" fontId="0" fillId="0" borderId="4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30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31" xfId="0" applyBorder="1" applyAlignment="1">
      <alignment vertical="center"/>
    </xf>
    <xf numFmtId="3" fontId="9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3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3" fontId="23" fillId="0" borderId="13" xfId="0" applyNumberFormat="1" applyFont="1" applyBorder="1" applyAlignment="1">
      <alignment vertical="center" wrapText="1"/>
    </xf>
    <xf numFmtId="3" fontId="23" fillId="0" borderId="14" xfId="0" applyNumberFormat="1" applyFont="1" applyBorder="1" applyAlignment="1">
      <alignment vertical="center" wrapText="1"/>
    </xf>
    <xf numFmtId="49" fontId="23" fillId="0" borderId="27" xfId="0" applyNumberFormat="1" applyFont="1" applyBorder="1" applyAlignment="1">
      <alignment horizontal="center" vertical="center" wrapText="1"/>
    </xf>
    <xf numFmtId="49" fontId="24" fillId="0" borderId="4" xfId="0" applyNumberFormat="1" applyFont="1" applyBorder="1" applyAlignment="1">
      <alignment horizontal="center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4" xfId="0" applyFont="1" applyBorder="1" applyAlignment="1">
      <alignment horizontal="left" vertical="center" wrapText="1"/>
    </xf>
    <xf numFmtId="3" fontId="29" fillId="0" borderId="3" xfId="0" applyNumberFormat="1" applyFont="1" applyBorder="1" applyAlignment="1">
      <alignment vertical="center" wrapText="1"/>
    </xf>
    <xf numFmtId="3" fontId="29" fillId="0" borderId="4" xfId="0" applyNumberFormat="1" applyFont="1" applyBorder="1" applyAlignment="1">
      <alignment vertical="center" wrapText="1"/>
    </xf>
    <xf numFmtId="3" fontId="33" fillId="0" borderId="4" xfId="0" applyNumberFormat="1" applyFont="1" applyBorder="1" applyAlignment="1">
      <alignment vertical="center" wrapText="1"/>
    </xf>
    <xf numFmtId="3" fontId="33" fillId="0" borderId="5" xfId="0" applyNumberFormat="1" applyFont="1" applyBorder="1" applyAlignment="1">
      <alignment vertical="center" wrapText="1"/>
    </xf>
    <xf numFmtId="0" fontId="33" fillId="0" borderId="6" xfId="0" applyFont="1" applyBorder="1" applyAlignment="1">
      <alignment horizontal="left" vertical="center" wrapText="1"/>
    </xf>
    <xf numFmtId="3" fontId="29" fillId="0" borderId="6" xfId="0" applyNumberFormat="1" applyFont="1" applyBorder="1" applyAlignment="1">
      <alignment vertical="center" wrapText="1"/>
    </xf>
    <xf numFmtId="0" fontId="13" fillId="0" borderId="23" xfId="0" applyFont="1" applyBorder="1" applyAlignment="1">
      <alignment horizontal="center" vertical="center" wrapText="1"/>
    </xf>
    <xf numFmtId="3" fontId="23" fillId="0" borderId="33" xfId="0" applyNumberFormat="1" applyFont="1" applyBorder="1" applyAlignment="1">
      <alignment vertical="center" wrapText="1"/>
    </xf>
    <xf numFmtId="3" fontId="24" fillId="0" borderId="21" xfId="0" applyNumberFormat="1" applyFont="1" applyBorder="1" applyAlignment="1">
      <alignment vertical="center" wrapText="1"/>
    </xf>
    <xf numFmtId="3" fontId="24" fillId="0" borderId="20" xfId="0" applyNumberFormat="1" applyFont="1" applyBorder="1" applyAlignment="1">
      <alignment vertical="center" wrapText="1"/>
    </xf>
    <xf numFmtId="3" fontId="24" fillId="0" borderId="24" xfId="0" applyNumberFormat="1" applyFont="1" applyBorder="1" applyAlignment="1">
      <alignment vertical="center" wrapText="1"/>
    </xf>
    <xf numFmtId="3" fontId="24" fillId="0" borderId="23" xfId="0" applyNumberFormat="1" applyFont="1" applyBorder="1" applyAlignment="1">
      <alignment vertical="center" wrapText="1"/>
    </xf>
    <xf numFmtId="3" fontId="33" fillId="0" borderId="20" xfId="0" applyNumberFormat="1" applyFont="1" applyBorder="1" applyAlignment="1">
      <alignment vertical="center" wrapText="1"/>
    </xf>
    <xf numFmtId="0" fontId="33" fillId="0" borderId="5" xfId="0" applyFont="1" applyBorder="1" applyAlignment="1">
      <alignment horizontal="left" vertical="center" wrapText="1"/>
    </xf>
    <xf numFmtId="3" fontId="29" fillId="0" borderId="5" xfId="0" applyNumberFormat="1" applyFont="1" applyBorder="1" applyAlignment="1">
      <alignment vertical="center" wrapText="1"/>
    </xf>
    <xf numFmtId="3" fontId="33" fillId="0" borderId="21" xfId="0" applyNumberFormat="1" applyFont="1" applyBorder="1" applyAlignment="1">
      <alignment vertical="center" wrapText="1"/>
    </xf>
    <xf numFmtId="49" fontId="24" fillId="0" borderId="34" xfId="0" applyNumberFormat="1" applyFont="1" applyBorder="1" applyAlignment="1">
      <alignment horizontal="center" vertical="center" wrapText="1"/>
    </xf>
    <xf numFmtId="0" fontId="24" fillId="0" borderId="34" xfId="0" applyFont="1" applyBorder="1" applyAlignment="1">
      <alignment horizontal="left" vertical="center" wrapText="1"/>
    </xf>
    <xf numFmtId="3" fontId="24" fillId="0" borderId="34" xfId="0" applyNumberFormat="1" applyFont="1" applyBorder="1" applyAlignment="1">
      <alignment vertical="center" wrapText="1"/>
    </xf>
    <xf numFmtId="3" fontId="24" fillId="0" borderId="35" xfId="0" applyNumberFormat="1" applyFont="1" applyBorder="1" applyAlignment="1">
      <alignment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3" fontId="24" fillId="0" borderId="1" xfId="0" applyNumberFormat="1" applyFont="1" applyBorder="1" applyAlignment="1">
      <alignment vertical="center" wrapText="1"/>
    </xf>
    <xf numFmtId="3" fontId="24" fillId="0" borderId="19" xfId="0" applyNumberFormat="1" applyFont="1" applyBorder="1" applyAlignment="1">
      <alignment vertical="center" wrapText="1"/>
    </xf>
    <xf numFmtId="3" fontId="33" fillId="0" borderId="24" xfId="0" applyNumberFormat="1" applyFont="1" applyBorder="1" applyAlignment="1">
      <alignment vertical="center" wrapText="1"/>
    </xf>
    <xf numFmtId="3" fontId="24" fillId="0" borderId="18" xfId="0" applyNumberFormat="1" applyFont="1" applyBorder="1" applyAlignment="1">
      <alignment vertical="center" wrapText="1"/>
    </xf>
    <xf numFmtId="3" fontId="33" fillId="0" borderId="22" xfId="0" applyNumberFormat="1" applyFont="1" applyBorder="1" applyAlignment="1">
      <alignment vertical="center" wrapText="1"/>
    </xf>
    <xf numFmtId="0" fontId="33" fillId="0" borderId="11" xfId="0" applyFont="1" applyBorder="1" applyAlignment="1">
      <alignment horizontal="left" vertical="center" wrapText="1"/>
    </xf>
    <xf numFmtId="3" fontId="29" fillId="0" borderId="11" xfId="0" applyNumberFormat="1" applyFont="1" applyBorder="1" applyAlignment="1">
      <alignment vertical="center" wrapText="1"/>
    </xf>
    <xf numFmtId="3" fontId="33" fillId="0" borderId="23" xfId="0" applyNumberFormat="1" applyFont="1" applyBorder="1" applyAlignment="1">
      <alignment vertical="center" wrapText="1"/>
    </xf>
    <xf numFmtId="3" fontId="21" fillId="0" borderId="0" xfId="0" applyNumberFormat="1" applyFont="1" applyAlignment="1">
      <alignment vertic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3" fontId="4" fillId="0" borderId="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0" fillId="0" borderId="4" xfId="0" applyBorder="1" applyAlignment="1">
      <alignment vertical="top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right" vertical="center" wrapText="1"/>
    </xf>
    <xf numFmtId="4" fontId="35" fillId="0" borderId="0" xfId="0" applyNumberFormat="1" applyFont="1" applyAlignment="1">
      <alignment horizontal="center"/>
    </xf>
    <xf numFmtId="4" fontId="6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vertical="center"/>
    </xf>
    <xf numFmtId="4" fontId="6" fillId="0" borderId="0" xfId="0" applyNumberFormat="1" applyFont="1" applyAlignment="1">
      <alignment horizontal="center" vertical="center"/>
    </xf>
    <xf numFmtId="0" fontId="9" fillId="0" borderId="0" xfId="23">
      <alignment/>
      <protection/>
    </xf>
    <xf numFmtId="0" fontId="0" fillId="0" borderId="12" xfId="23" applyFont="1" applyBorder="1" applyAlignment="1">
      <alignment horizontal="justify" vertical="center"/>
      <protection/>
    </xf>
    <xf numFmtId="0" fontId="0" fillId="0" borderId="7" xfId="23" applyFont="1" applyBorder="1" applyAlignment="1">
      <alignment horizontal="justify" vertical="center" wrapText="1"/>
      <protection/>
    </xf>
    <xf numFmtId="0" fontId="0" fillId="0" borderId="1" xfId="23" applyFont="1" applyBorder="1" applyAlignment="1">
      <alignment horizontal="justify" vertical="center"/>
      <protection/>
    </xf>
    <xf numFmtId="0" fontId="9" fillId="0" borderId="0" xfId="23" applyAlignment="1">
      <alignment horizontal="center" vertical="center"/>
      <protection/>
    </xf>
    <xf numFmtId="0" fontId="9" fillId="0" borderId="0" xfId="23" applyAlignment="1">
      <alignment horizontal="justify" vertical="center"/>
      <protection/>
    </xf>
    <xf numFmtId="181" fontId="9" fillId="0" borderId="0" xfId="15" applyNumberFormat="1" applyAlignment="1">
      <alignment/>
    </xf>
    <xf numFmtId="0" fontId="0" fillId="0" borderId="12" xfId="23" applyFont="1" applyBorder="1" applyAlignment="1">
      <alignment horizontal="left" vertical="center" wrapText="1"/>
      <protection/>
    </xf>
    <xf numFmtId="0" fontId="0" fillId="0" borderId="1" xfId="23" applyFont="1" applyBorder="1" applyAlignment="1">
      <alignment horizontal="left" vertical="center" wrapText="1"/>
      <protection/>
    </xf>
    <xf numFmtId="0" fontId="0" fillId="0" borderId="1" xfId="23" applyFont="1" applyBorder="1" applyAlignment="1">
      <alignment horizontal="justify" vertical="center" wrapText="1"/>
      <protection/>
    </xf>
    <xf numFmtId="0" fontId="0" fillId="0" borderId="1" xfId="23" applyFont="1" applyBorder="1" applyAlignment="1">
      <alignment horizontal="right" vertical="center"/>
      <protection/>
    </xf>
    <xf numFmtId="0" fontId="9" fillId="0" borderId="0" xfId="19">
      <alignment/>
      <protection/>
    </xf>
    <xf numFmtId="0" fontId="9" fillId="0" borderId="0" xfId="19" applyAlignment="1">
      <alignment horizontal="center"/>
      <protection/>
    </xf>
    <xf numFmtId="0" fontId="25" fillId="0" borderId="0" xfId="19" applyFont="1" applyAlignment="1">
      <alignment horizontal="center"/>
      <protection/>
    </xf>
    <xf numFmtId="49" fontId="12" fillId="0" borderId="36" xfId="19" applyNumberFormat="1" applyFont="1" applyBorder="1" applyAlignment="1">
      <alignment horizontal="center" vertical="center"/>
      <protection/>
    </xf>
    <xf numFmtId="49" fontId="12" fillId="0" borderId="1" xfId="19" applyNumberFormat="1" applyFont="1" applyBorder="1" applyAlignment="1">
      <alignment horizontal="center" vertical="center"/>
      <protection/>
    </xf>
    <xf numFmtId="0" fontId="12" fillId="0" borderId="1" xfId="19" applyFont="1" applyBorder="1" applyAlignment="1">
      <alignment horizontal="center" vertical="center" wrapText="1"/>
      <protection/>
    </xf>
    <xf numFmtId="4" fontId="9" fillId="0" borderId="1" xfId="15" applyNumberFormat="1" applyBorder="1" applyAlignment="1">
      <alignment horizontal="center" vertical="center"/>
    </xf>
    <xf numFmtId="4" fontId="9" fillId="0" borderId="37" xfId="15" applyNumberFormat="1" applyBorder="1" applyAlignment="1">
      <alignment horizontal="center" vertical="center"/>
    </xf>
    <xf numFmtId="0" fontId="0" fillId="0" borderId="7" xfId="19" applyFont="1" applyBorder="1" applyAlignment="1">
      <alignment horizontal="left" vertical="center" wrapText="1"/>
      <protection/>
    </xf>
    <xf numFmtId="4" fontId="29" fillId="0" borderId="7" xfId="15" applyNumberFormat="1" applyFont="1" applyBorder="1" applyAlignment="1">
      <alignment horizontal="center" vertical="center"/>
    </xf>
    <xf numFmtId="4" fontId="29" fillId="0" borderId="38" xfId="15" applyNumberFormat="1" applyFont="1" applyBorder="1" applyAlignment="1">
      <alignment horizontal="center" vertical="center"/>
    </xf>
    <xf numFmtId="0" fontId="0" fillId="0" borderId="12" xfId="19" applyFont="1" applyBorder="1" applyAlignment="1">
      <alignment horizontal="left" vertical="center" wrapText="1"/>
      <protection/>
    </xf>
    <xf numFmtId="4" fontId="0" fillId="0" borderId="7" xfId="15" applyNumberFormat="1" applyFont="1" applyBorder="1" applyAlignment="1">
      <alignment horizontal="right" vertical="center"/>
    </xf>
    <xf numFmtId="4" fontId="9" fillId="0" borderId="7" xfId="15" applyNumberFormat="1" applyBorder="1" applyAlignment="1">
      <alignment horizontal="center" vertical="center"/>
    </xf>
    <xf numFmtId="4" fontId="9" fillId="0" borderId="38" xfId="15" applyNumberFormat="1" applyBorder="1" applyAlignment="1">
      <alignment horizontal="center" vertical="center"/>
    </xf>
    <xf numFmtId="49" fontId="9" fillId="0" borderId="39" xfId="19" applyNumberFormat="1" applyBorder="1" applyAlignment="1">
      <alignment horizontal="center" vertical="center"/>
      <protection/>
    </xf>
    <xf numFmtId="49" fontId="9" fillId="0" borderId="10" xfId="19" applyNumberFormat="1" applyBorder="1" applyAlignment="1">
      <alignment horizontal="center" vertical="center"/>
      <protection/>
    </xf>
    <xf numFmtId="0" fontId="12" fillId="0" borderId="10" xfId="19" applyFont="1" applyBorder="1" applyAlignment="1">
      <alignment horizontal="center" vertical="center" wrapText="1"/>
      <protection/>
    </xf>
    <xf numFmtId="4" fontId="12" fillId="0" borderId="10" xfId="19" applyNumberFormat="1" applyFont="1" applyBorder="1" applyAlignment="1">
      <alignment horizontal="center" vertical="center" wrapText="1"/>
      <protection/>
    </xf>
    <xf numFmtId="4" fontId="12" fillId="0" borderId="10" xfId="15" applyNumberFormat="1" applyFont="1" applyBorder="1" applyAlignment="1">
      <alignment horizontal="center" vertical="center"/>
    </xf>
    <xf numFmtId="4" fontId="9" fillId="0" borderId="40" xfId="15" applyNumberFormat="1" applyBorder="1" applyAlignment="1">
      <alignment horizontal="center" vertical="center"/>
    </xf>
    <xf numFmtId="4" fontId="12" fillId="0" borderId="1" xfId="19" applyNumberFormat="1" applyFont="1" applyBorder="1" applyAlignment="1">
      <alignment horizontal="center" vertical="center" wrapText="1"/>
      <protection/>
    </xf>
    <xf numFmtId="0" fontId="12" fillId="0" borderId="13" xfId="19" applyNumberFormat="1" applyFont="1" applyBorder="1" applyAlignment="1">
      <alignment horizontal="center" vertical="center" wrapText="1"/>
      <protection/>
    </xf>
    <xf numFmtId="4" fontId="32" fillId="0" borderId="13" xfId="15" applyNumberFormat="1" applyFont="1" applyBorder="1" applyAlignment="1">
      <alignment horizontal="center" vertical="center"/>
    </xf>
    <xf numFmtId="4" fontId="32" fillId="0" borderId="17" xfId="15" applyNumberFormat="1" applyFont="1" applyBorder="1" applyAlignment="1">
      <alignment horizontal="center" vertical="center"/>
    </xf>
    <xf numFmtId="49" fontId="9" fillId="0" borderId="0" xfId="19" applyNumberFormat="1" applyAlignment="1">
      <alignment horizontal="center" vertical="center"/>
      <protection/>
    </xf>
    <xf numFmtId="3" fontId="24" fillId="0" borderId="10" xfId="0" applyNumberFormat="1" applyFont="1" applyBorder="1" applyAlignment="1">
      <alignment vertical="center"/>
    </xf>
    <xf numFmtId="3" fontId="24" fillId="0" borderId="41" xfId="0" applyNumberFormat="1" applyFont="1" applyBorder="1" applyAlignment="1">
      <alignment vertical="center" wrapText="1"/>
    </xf>
    <xf numFmtId="3" fontId="21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 vertical="center"/>
    </xf>
    <xf numFmtId="10" fontId="0" fillId="0" borderId="0" xfId="0" applyNumberForma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10" fontId="2" fillId="0" borderId="0" xfId="0" applyNumberFormat="1" applyFont="1" applyBorder="1" applyAlignment="1">
      <alignment vertical="center"/>
    </xf>
    <xf numFmtId="10" fontId="0" fillId="0" borderId="0" xfId="0" applyNumberFormat="1" applyAlignment="1">
      <alignment vertical="center"/>
    </xf>
    <xf numFmtId="0" fontId="32" fillId="5" borderId="42" xfId="21" applyFont="1" applyFill="1" applyBorder="1" applyAlignment="1">
      <alignment horizontal="center" vertical="center" wrapText="1"/>
      <protection/>
    </xf>
    <xf numFmtId="3" fontId="23" fillId="0" borderId="28" xfId="0" applyNumberFormat="1" applyFont="1" applyBorder="1" applyAlignment="1">
      <alignment vertical="center" wrapText="1"/>
    </xf>
    <xf numFmtId="3" fontId="7" fillId="0" borderId="0" xfId="0" applyNumberFormat="1" applyFont="1" applyAlignment="1">
      <alignment vertical="center"/>
    </xf>
    <xf numFmtId="49" fontId="0" fillId="0" borderId="2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2" xfId="23" applyBorder="1">
      <alignment/>
      <protection/>
    </xf>
    <xf numFmtId="4" fontId="9" fillId="0" borderId="12" xfId="15" applyNumberFormat="1" applyBorder="1" applyAlignment="1">
      <alignment horizontal="right" vertical="center"/>
    </xf>
    <xf numFmtId="0" fontId="12" fillId="0" borderId="7" xfId="23" applyFont="1" applyBorder="1" applyAlignment="1">
      <alignment horizontal="center" vertical="center"/>
      <protection/>
    </xf>
    <xf numFmtId="4" fontId="9" fillId="0" borderId="7" xfId="15" applyNumberFormat="1" applyBorder="1" applyAlignment="1">
      <alignment horizontal="right" vertical="center"/>
    </xf>
    <xf numFmtId="0" fontId="12" fillId="0" borderId="1" xfId="23" applyFont="1" applyBorder="1" applyAlignment="1">
      <alignment horizontal="center" vertical="center"/>
      <protection/>
    </xf>
    <xf numFmtId="4" fontId="9" fillId="0" borderId="1" xfId="15" applyNumberFormat="1" applyBorder="1" applyAlignment="1">
      <alignment horizontal="right" vertical="center"/>
    </xf>
    <xf numFmtId="0" fontId="9" fillId="0" borderId="1" xfId="23" applyBorder="1" applyAlignment="1">
      <alignment horizontal="center" vertical="center"/>
      <protection/>
    </xf>
    <xf numFmtId="0" fontId="12" fillId="0" borderId="12" xfId="23" applyFont="1" applyBorder="1" applyAlignment="1">
      <alignment horizontal="center" vertical="center"/>
      <protection/>
    </xf>
    <xf numFmtId="4" fontId="9" fillId="0" borderId="12" xfId="15" applyNumberFormat="1" applyBorder="1" applyAlignment="1">
      <alignment vertical="center"/>
    </xf>
    <xf numFmtId="4" fontId="9" fillId="0" borderId="1" xfId="15" applyNumberFormat="1" applyBorder="1" applyAlignment="1">
      <alignment vertical="center"/>
    </xf>
    <xf numFmtId="0" fontId="9" fillId="0" borderId="7" xfId="23" applyBorder="1" applyAlignment="1">
      <alignment horizontal="center" vertical="center"/>
      <protection/>
    </xf>
    <xf numFmtId="0" fontId="0" fillId="0" borderId="7" xfId="23" applyFont="1" applyBorder="1" applyAlignment="1">
      <alignment horizontal="right" vertical="center"/>
      <protection/>
    </xf>
    <xf numFmtId="4" fontId="9" fillId="0" borderId="7" xfId="15" applyNumberFormat="1" applyBorder="1" applyAlignment="1">
      <alignment vertical="center"/>
    </xf>
    <xf numFmtId="0" fontId="0" fillId="0" borderId="7" xfId="23" applyFont="1" applyBorder="1" applyAlignment="1">
      <alignment horizontal="justify" vertical="center"/>
      <protection/>
    </xf>
    <xf numFmtId="4" fontId="32" fillId="0" borderId="14" xfId="15" applyNumberFormat="1" applyFont="1" applyBorder="1" applyAlignment="1">
      <alignment horizontal="center" vertical="center"/>
    </xf>
    <xf numFmtId="4" fontId="9" fillId="0" borderId="43" xfId="19" applyNumberFormat="1" applyFont="1" applyBorder="1" applyAlignment="1">
      <alignment horizontal="right" vertical="center" wrapText="1"/>
      <protection/>
    </xf>
    <xf numFmtId="4" fontId="9" fillId="0" borderId="44" xfId="15" applyNumberFormat="1" applyBorder="1" applyAlignment="1">
      <alignment horizontal="center" vertical="center"/>
    </xf>
    <xf numFmtId="49" fontId="9" fillId="0" borderId="0" xfId="19" applyNumberFormat="1" applyFont="1" applyBorder="1" applyAlignment="1">
      <alignment horizontal="center" vertical="center"/>
      <protection/>
    </xf>
    <xf numFmtId="4" fontId="12" fillId="0" borderId="1" xfId="15" applyNumberFormat="1" applyFont="1" applyBorder="1" applyAlignment="1">
      <alignment horizontal="center" vertical="center"/>
    </xf>
    <xf numFmtId="49" fontId="29" fillId="0" borderId="36" xfId="19" applyNumberFormat="1" applyFont="1" applyBorder="1" applyAlignment="1">
      <alignment horizontal="center" vertical="center"/>
      <protection/>
    </xf>
    <xf numFmtId="49" fontId="29" fillId="0" borderId="1" xfId="19" applyNumberFormat="1" applyFont="1" applyBorder="1" applyAlignment="1">
      <alignment horizontal="center" vertical="center"/>
      <protection/>
    </xf>
    <xf numFmtId="0" fontId="11" fillId="0" borderId="7" xfId="19" applyFont="1" applyBorder="1" applyAlignment="1">
      <alignment horizontal="left" vertical="center" wrapText="1"/>
      <protection/>
    </xf>
    <xf numFmtId="4" fontId="11" fillId="0" borderId="7" xfId="19" applyNumberFormat="1" applyFont="1" applyBorder="1" applyAlignment="1">
      <alignment horizontal="right" vertical="center" wrapText="1"/>
      <protection/>
    </xf>
    <xf numFmtId="4" fontId="29" fillId="0" borderId="7" xfId="15" applyNumberFormat="1" applyFont="1" applyBorder="1" applyAlignment="1">
      <alignment horizontal="right" vertical="center"/>
    </xf>
    <xf numFmtId="0" fontId="11" fillId="0" borderId="1" xfId="19" applyFont="1" applyBorder="1" applyAlignment="1">
      <alignment horizontal="left" vertical="center" wrapText="1"/>
      <protection/>
    </xf>
    <xf numFmtId="4" fontId="29" fillId="0" borderId="7" xfId="19" applyNumberFormat="1" applyFont="1" applyBorder="1" applyAlignment="1">
      <alignment horizontal="right" vertical="center" wrapText="1"/>
      <protection/>
    </xf>
    <xf numFmtId="4" fontId="11" fillId="0" borderId="7" xfId="15" applyNumberFormat="1" applyFont="1" applyBorder="1" applyAlignment="1">
      <alignment horizontal="right" vertical="center"/>
    </xf>
    <xf numFmtId="4" fontId="27" fillId="0" borderId="7" xfId="19" applyNumberFormat="1" applyFont="1" applyBorder="1" applyAlignment="1">
      <alignment horizontal="left" vertical="center" wrapText="1"/>
      <protection/>
    </xf>
    <xf numFmtId="4" fontId="11" fillId="0" borderId="1" xfId="19" applyNumberFormat="1" applyFont="1" applyBorder="1" applyAlignment="1">
      <alignment horizontal="left" vertical="center" wrapText="1"/>
      <protection/>
    </xf>
    <xf numFmtId="4" fontId="29" fillId="0" borderId="1" xfId="15" applyNumberFormat="1" applyFont="1" applyBorder="1" applyAlignment="1">
      <alignment horizontal="center" vertical="center"/>
    </xf>
    <xf numFmtId="0" fontId="0" fillId="0" borderId="2" xfId="19" applyFont="1" applyBorder="1" applyAlignment="1">
      <alignment horizontal="left" vertical="center" wrapText="1"/>
      <protection/>
    </xf>
    <xf numFmtId="4" fontId="9" fillId="0" borderId="45" xfId="19" applyNumberFormat="1" applyFont="1" applyBorder="1" applyAlignment="1">
      <alignment horizontal="right" vertical="center" wrapText="1"/>
      <protection/>
    </xf>
    <xf numFmtId="4" fontId="0" fillId="0" borderId="2" xfId="15" applyNumberFormat="1" applyFont="1" applyBorder="1" applyAlignment="1">
      <alignment horizontal="right" vertical="center"/>
    </xf>
    <xf numFmtId="4" fontId="9" fillId="0" borderId="46" xfId="15" applyNumberFormat="1" applyBorder="1" applyAlignment="1">
      <alignment horizontal="center" vertical="center"/>
    </xf>
    <xf numFmtId="4" fontId="9" fillId="0" borderId="47" xfId="15" applyNumberFormat="1" applyBorder="1" applyAlignment="1">
      <alignment horizontal="center" vertical="center"/>
    </xf>
    <xf numFmtId="0" fontId="0" fillId="0" borderId="3" xfId="19" applyFont="1" applyBorder="1" applyAlignment="1">
      <alignment horizontal="left" vertical="center" wrapText="1"/>
      <protection/>
    </xf>
    <xf numFmtId="4" fontId="9" fillId="0" borderId="32" xfId="19" applyNumberFormat="1" applyFont="1" applyBorder="1" applyAlignment="1">
      <alignment horizontal="right" vertical="center" wrapText="1"/>
      <protection/>
    </xf>
    <xf numFmtId="4" fontId="0" fillId="0" borderId="3" xfId="15" applyNumberFormat="1" applyFont="1" applyBorder="1" applyAlignment="1">
      <alignment horizontal="right" vertical="center"/>
    </xf>
    <xf numFmtId="4" fontId="9" fillId="0" borderId="25" xfId="15" applyNumberFormat="1" applyBorder="1" applyAlignment="1">
      <alignment horizontal="center" vertical="center"/>
    </xf>
    <xf numFmtId="4" fontId="9" fillId="0" borderId="48" xfId="15" applyNumberFormat="1" applyBorder="1" applyAlignment="1">
      <alignment horizontal="center" vertical="center"/>
    </xf>
    <xf numFmtId="0" fontId="0" fillId="0" borderId="6" xfId="19" applyFont="1" applyBorder="1" applyAlignment="1">
      <alignment horizontal="left" vertical="center" wrapText="1"/>
      <protection/>
    </xf>
    <xf numFmtId="4" fontId="9" fillId="0" borderId="49" xfId="19" applyNumberFormat="1" applyFont="1" applyBorder="1" applyAlignment="1">
      <alignment horizontal="right" vertical="center" wrapText="1"/>
      <protection/>
    </xf>
    <xf numFmtId="4" fontId="0" fillId="0" borderId="6" xfId="15" applyNumberFormat="1" applyFont="1" applyBorder="1" applyAlignment="1">
      <alignment horizontal="right" vertical="center"/>
    </xf>
    <xf numFmtId="4" fontId="9" fillId="0" borderId="50" xfId="15" applyNumberFormat="1" applyBorder="1" applyAlignment="1">
      <alignment horizontal="center" vertical="center"/>
    </xf>
    <xf numFmtId="4" fontId="9" fillId="0" borderId="51" xfId="15" applyNumberFormat="1" applyBorder="1" applyAlignment="1">
      <alignment horizontal="center" vertical="center"/>
    </xf>
    <xf numFmtId="4" fontId="9" fillId="0" borderId="0" xfId="19" applyNumberFormat="1" applyFont="1" applyBorder="1" applyAlignment="1">
      <alignment horizontal="right" vertical="center" wrapText="1"/>
      <protection/>
    </xf>
    <xf numFmtId="4" fontId="0" fillId="0" borderId="12" xfId="15" applyNumberFormat="1" applyFont="1" applyBorder="1" applyAlignment="1">
      <alignment horizontal="right" vertical="center"/>
    </xf>
    <xf numFmtId="4" fontId="9" fillId="0" borderId="8" xfId="15" applyNumberFormat="1" applyBorder="1" applyAlignment="1">
      <alignment horizontal="center" vertical="center"/>
    </xf>
    <xf numFmtId="4" fontId="9" fillId="0" borderId="52" xfId="15" applyNumberFormat="1" applyBorder="1" applyAlignment="1">
      <alignment horizontal="center" vertical="center"/>
    </xf>
    <xf numFmtId="10" fontId="0" fillId="0" borderId="0" xfId="0" applyNumberFormat="1" applyAlignment="1">
      <alignment/>
    </xf>
    <xf numFmtId="0" fontId="9" fillId="0" borderId="29" xfId="21" applyFont="1" applyFill="1" applyBorder="1" applyAlignment="1">
      <alignment horizontal="center" vertical="center" wrapText="1"/>
      <protection/>
    </xf>
    <xf numFmtId="0" fontId="12" fillId="2" borderId="27" xfId="19" applyFont="1" applyFill="1" applyBorder="1" applyAlignment="1">
      <alignment horizontal="center" vertical="center"/>
      <protection/>
    </xf>
    <xf numFmtId="0" fontId="4" fillId="2" borderId="13" xfId="19" applyFont="1" applyFill="1" applyBorder="1" applyAlignment="1">
      <alignment horizontal="center" vertical="center"/>
      <protection/>
    </xf>
    <xf numFmtId="0" fontId="4" fillId="2" borderId="13" xfId="19" applyFont="1" applyFill="1" applyBorder="1" applyAlignment="1">
      <alignment horizontal="center" vertical="center" wrapText="1"/>
      <protection/>
    </xf>
    <xf numFmtId="0" fontId="4" fillId="2" borderId="17" xfId="19" applyFont="1" applyFill="1" applyBorder="1" applyAlignment="1">
      <alignment horizontal="center" vertical="center"/>
      <protection/>
    </xf>
    <xf numFmtId="4" fontId="42" fillId="6" borderId="12" xfId="15" applyNumberFormat="1" applyFont="1" applyFill="1" applyBorder="1" applyAlignment="1">
      <alignment horizontal="center" vertical="center"/>
    </xf>
    <xf numFmtId="4" fontId="9" fillId="6" borderId="12" xfId="15" applyNumberFormat="1" applyFill="1" applyBorder="1" applyAlignment="1">
      <alignment horizontal="center" vertical="center"/>
    </xf>
    <xf numFmtId="4" fontId="9" fillId="6" borderId="53" xfId="15" applyNumberFormat="1" applyFill="1" applyBorder="1" applyAlignment="1">
      <alignment horizontal="center" vertical="center"/>
    </xf>
    <xf numFmtId="4" fontId="42" fillId="6" borderId="12" xfId="19" applyNumberFormat="1" applyFont="1" applyFill="1" applyBorder="1" applyAlignment="1">
      <alignment horizontal="center" vertical="center" wrapText="1"/>
      <protection/>
    </xf>
    <xf numFmtId="4" fontId="29" fillId="6" borderId="12" xfId="15" applyNumberFormat="1" applyFont="1" applyFill="1" applyBorder="1" applyAlignment="1">
      <alignment horizontal="center" vertical="center"/>
    </xf>
    <xf numFmtId="4" fontId="42" fillId="6" borderId="54" xfId="15" applyNumberFormat="1" applyFont="1" applyFill="1" applyBorder="1" applyAlignment="1">
      <alignment horizontal="center" vertical="center"/>
    </xf>
    <xf numFmtId="0" fontId="3" fillId="0" borderId="0" xfId="21" applyFont="1" applyAlignment="1">
      <alignment vertical="center" wrapText="1"/>
      <protection/>
    </xf>
    <xf numFmtId="0" fontId="31" fillId="0" borderId="0" xfId="21" applyFont="1">
      <alignment/>
      <protection/>
    </xf>
    <xf numFmtId="0" fontId="24" fillId="0" borderId="0" xfId="21" applyFont="1">
      <alignment/>
      <protection/>
    </xf>
    <xf numFmtId="3" fontId="24" fillId="0" borderId="0" xfId="21" applyNumberFormat="1" applyFont="1">
      <alignment/>
      <protection/>
    </xf>
    <xf numFmtId="0" fontId="8" fillId="0" borderId="0" xfId="21" applyFont="1" applyAlignment="1">
      <alignment horizontal="right" vertical="center"/>
      <protection/>
    </xf>
    <xf numFmtId="0" fontId="32" fillId="0" borderId="0" xfId="21" applyFont="1" applyAlignment="1">
      <alignment textRotation="180"/>
      <protection/>
    </xf>
    <xf numFmtId="0" fontId="24" fillId="0" borderId="0" xfId="21" applyFont="1" applyAlignment="1">
      <alignment vertical="center" wrapText="1"/>
      <protection/>
    </xf>
    <xf numFmtId="0" fontId="32" fillId="5" borderId="9" xfId="21" applyFont="1" applyFill="1" applyBorder="1" applyAlignment="1">
      <alignment horizontal="center" vertical="center" wrapText="1"/>
      <protection/>
    </xf>
    <xf numFmtId="0" fontId="4" fillId="5" borderId="7" xfId="21" applyFont="1" applyFill="1" applyBorder="1" applyAlignment="1">
      <alignment horizontal="center" vertical="center" wrapText="1"/>
      <protection/>
    </xf>
    <xf numFmtId="0" fontId="4" fillId="5" borderId="11" xfId="21" applyFont="1" applyFill="1" applyBorder="1" applyAlignment="1">
      <alignment horizontal="center" vertical="center" wrapText="1"/>
      <protection/>
    </xf>
    <xf numFmtId="0" fontId="26" fillId="0" borderId="55" xfId="21" applyFont="1" applyFill="1" applyBorder="1" applyAlignment="1">
      <alignment horizontal="center" vertical="center" wrapText="1"/>
      <protection/>
    </xf>
    <xf numFmtId="0" fontId="26" fillId="0" borderId="7" xfId="21" applyFont="1" applyFill="1" applyBorder="1" applyAlignment="1">
      <alignment horizontal="center" vertical="center" wrapText="1"/>
      <protection/>
    </xf>
    <xf numFmtId="3" fontId="8" fillId="0" borderId="7" xfId="21" applyNumberFormat="1" applyFont="1" applyFill="1" applyBorder="1" applyAlignment="1">
      <alignment horizontal="center" vertical="center" wrapText="1"/>
      <protection/>
    </xf>
    <xf numFmtId="0" fontId="8" fillId="0" borderId="7" xfId="21" applyFont="1" applyFill="1" applyBorder="1" applyAlignment="1">
      <alignment horizontal="center" vertical="center" wrapText="1"/>
      <protection/>
    </xf>
    <xf numFmtId="0" fontId="26" fillId="0" borderId="0" xfId="21" applyFont="1" applyFill="1" applyAlignment="1">
      <alignment horizontal="center" textRotation="180"/>
      <protection/>
    </xf>
    <xf numFmtId="0" fontId="26" fillId="0" borderId="0" xfId="21" applyFont="1" applyFill="1" applyAlignment="1">
      <alignment horizontal="center" vertical="center" wrapText="1"/>
      <protection/>
    </xf>
    <xf numFmtId="3" fontId="32" fillId="0" borderId="13" xfId="21" applyNumberFormat="1" applyFont="1" applyFill="1" applyBorder="1" applyAlignment="1">
      <alignment vertical="center" wrapText="1"/>
      <protection/>
    </xf>
    <xf numFmtId="3" fontId="32" fillId="0" borderId="14" xfId="21" applyNumberFormat="1" applyFont="1" applyFill="1" applyBorder="1" applyAlignment="1">
      <alignment vertical="center" wrapText="1"/>
      <protection/>
    </xf>
    <xf numFmtId="0" fontId="32" fillId="0" borderId="0" xfId="21" applyFont="1" applyFill="1" applyAlignment="1">
      <alignment textRotation="180"/>
      <protection/>
    </xf>
    <xf numFmtId="0" fontId="24" fillId="0" borderId="0" xfId="21" applyFont="1" applyFill="1" applyAlignment="1">
      <alignment vertical="center" wrapText="1"/>
      <protection/>
    </xf>
    <xf numFmtId="3" fontId="33" fillId="0" borderId="56" xfId="21" applyNumberFormat="1" applyFont="1" applyFill="1" applyBorder="1" applyAlignment="1">
      <alignment vertical="center" wrapText="1"/>
      <protection/>
    </xf>
    <xf numFmtId="0" fontId="24" fillId="0" borderId="57" xfId="21" applyFont="1" applyFill="1" applyBorder="1" applyAlignment="1">
      <alignment horizontal="center" vertical="center" wrapText="1"/>
      <protection/>
    </xf>
    <xf numFmtId="0" fontId="9" fillId="0" borderId="12" xfId="21" applyFont="1" applyFill="1" applyBorder="1" applyAlignment="1">
      <alignment vertical="center" wrapText="1"/>
      <protection/>
    </xf>
    <xf numFmtId="0" fontId="9" fillId="0" borderId="12" xfId="21" applyNumberFormat="1" applyFont="1" applyFill="1" applyBorder="1" applyAlignment="1">
      <alignment horizontal="center" vertical="center" wrapText="1"/>
      <protection/>
    </xf>
    <xf numFmtId="3" fontId="24" fillId="0" borderId="12" xfId="21" applyNumberFormat="1" applyFont="1" applyFill="1" applyBorder="1" applyAlignment="1">
      <alignment vertical="center" wrapText="1"/>
      <protection/>
    </xf>
    <xf numFmtId="3" fontId="43" fillId="0" borderId="12" xfId="21" applyNumberFormat="1" applyFont="1" applyFill="1" applyBorder="1" applyAlignment="1">
      <alignment vertical="center" wrapText="1"/>
      <protection/>
    </xf>
    <xf numFmtId="3" fontId="26" fillId="0" borderId="12" xfId="21" applyNumberFormat="1" applyFont="1" applyFill="1" applyBorder="1" applyAlignment="1">
      <alignment vertical="center" wrapText="1"/>
      <protection/>
    </xf>
    <xf numFmtId="0" fontId="9" fillId="0" borderId="1" xfId="21" applyFont="1" applyFill="1" applyBorder="1" applyAlignment="1">
      <alignment vertical="center" wrapText="1"/>
      <protection/>
    </xf>
    <xf numFmtId="0" fontId="9" fillId="0" borderId="1" xfId="21" applyNumberFormat="1" applyFont="1" applyFill="1" applyBorder="1" applyAlignment="1">
      <alignment horizontal="center" vertical="center" wrapText="1"/>
      <protection/>
    </xf>
    <xf numFmtId="3" fontId="24" fillId="0" borderId="1" xfId="21" applyNumberFormat="1" applyFont="1" applyFill="1" applyBorder="1" applyAlignment="1">
      <alignment vertical="center" wrapText="1"/>
      <protection/>
    </xf>
    <xf numFmtId="3" fontId="43" fillId="0" borderId="1" xfId="21" applyNumberFormat="1" applyFont="1" applyFill="1" applyBorder="1" applyAlignment="1">
      <alignment vertical="center" wrapText="1"/>
      <protection/>
    </xf>
    <xf numFmtId="3" fontId="33" fillId="0" borderId="58" xfId="21" applyNumberFormat="1" applyFont="1" applyFill="1" applyBorder="1" applyAlignment="1">
      <alignment vertical="center" wrapText="1"/>
      <protection/>
    </xf>
    <xf numFmtId="3" fontId="24" fillId="0" borderId="59" xfId="21" applyNumberFormat="1" applyFont="1" applyFill="1" applyBorder="1" applyAlignment="1">
      <alignment vertical="center" wrapText="1"/>
      <protection/>
    </xf>
    <xf numFmtId="0" fontId="9" fillId="0" borderId="12" xfId="21" applyFont="1" applyFill="1" applyBorder="1" applyAlignment="1">
      <alignment horizontal="left" vertical="center" wrapText="1"/>
      <protection/>
    </xf>
    <xf numFmtId="3" fontId="32" fillId="0" borderId="15" xfId="21" applyNumberFormat="1" applyFont="1" applyFill="1" applyBorder="1" applyAlignment="1">
      <alignment vertical="center" wrapText="1"/>
      <protection/>
    </xf>
    <xf numFmtId="3" fontId="33" fillId="0" borderId="60" xfId="21" applyNumberFormat="1" applyFont="1" applyFill="1" applyBorder="1" applyAlignment="1">
      <alignment vertical="center" wrapText="1"/>
      <protection/>
    </xf>
    <xf numFmtId="1" fontId="9" fillId="0" borderId="61" xfId="21" applyNumberFormat="1" applyFont="1" applyFill="1" applyBorder="1" applyAlignment="1">
      <alignment horizontal="center" vertical="center" wrapText="1"/>
      <protection/>
    </xf>
    <xf numFmtId="0" fontId="24" fillId="0" borderId="62" xfId="21" applyFont="1" applyFill="1" applyBorder="1" applyAlignment="1">
      <alignment horizontal="center" vertical="center" wrapText="1"/>
      <protection/>
    </xf>
    <xf numFmtId="0" fontId="9" fillId="0" borderId="63" xfId="21" applyFont="1" applyFill="1" applyBorder="1" applyAlignment="1">
      <alignment vertical="center" wrapText="1"/>
      <protection/>
    </xf>
    <xf numFmtId="1" fontId="9" fillId="0" borderId="64" xfId="21" applyNumberFormat="1" applyFont="1" applyFill="1" applyBorder="1" applyAlignment="1">
      <alignment horizontal="center" vertical="center" wrapText="1"/>
      <protection/>
    </xf>
    <xf numFmtId="3" fontId="24" fillId="0" borderId="63" xfId="21" applyNumberFormat="1" applyFont="1" applyFill="1" applyBorder="1" applyAlignment="1">
      <alignment vertical="center" wrapText="1"/>
      <protection/>
    </xf>
    <xf numFmtId="3" fontId="24" fillId="0" borderId="65" xfId="21" applyNumberFormat="1" applyFont="1" applyFill="1" applyBorder="1" applyAlignment="1">
      <alignment vertical="center" wrapText="1"/>
      <protection/>
    </xf>
    <xf numFmtId="0" fontId="24" fillId="0" borderId="66" xfId="21" applyFont="1" applyFill="1" applyBorder="1" applyAlignment="1">
      <alignment horizontal="center" vertical="center" wrapText="1"/>
      <protection/>
    </xf>
    <xf numFmtId="0" fontId="9" fillId="0" borderId="28" xfId="21" applyFont="1" applyFill="1" applyBorder="1" applyAlignment="1">
      <alignment vertical="center" wrapText="1"/>
      <protection/>
    </xf>
    <xf numFmtId="3" fontId="24" fillId="0" borderId="28" xfId="21" applyNumberFormat="1" applyFont="1" applyFill="1" applyBorder="1" applyAlignment="1">
      <alignment vertical="center" wrapText="1"/>
      <protection/>
    </xf>
    <xf numFmtId="3" fontId="24" fillId="0" borderId="67" xfId="21" applyNumberFormat="1" applyFont="1" applyFill="1" applyBorder="1" applyAlignment="1">
      <alignment vertical="center" wrapText="1"/>
      <protection/>
    </xf>
    <xf numFmtId="0" fontId="9" fillId="0" borderId="14" xfId="21" applyFont="1" applyFill="1" applyBorder="1" applyAlignment="1">
      <alignment vertical="center" wrapText="1"/>
      <protection/>
    </xf>
    <xf numFmtId="1" fontId="9" fillId="0" borderId="12" xfId="21" applyNumberFormat="1" applyFont="1" applyFill="1" applyBorder="1" applyAlignment="1">
      <alignment horizontal="center" vertical="center" wrapText="1"/>
      <protection/>
    </xf>
    <xf numFmtId="3" fontId="33" fillId="0" borderId="68" xfId="21" applyNumberFormat="1" applyFont="1" applyFill="1" applyBorder="1" applyAlignment="1">
      <alignment vertical="center" wrapText="1"/>
      <protection/>
    </xf>
    <xf numFmtId="1" fontId="9" fillId="0" borderId="28" xfId="21" applyNumberFormat="1" applyFont="1" applyFill="1" applyBorder="1" applyAlignment="1">
      <alignment vertical="center" wrapText="1"/>
      <protection/>
    </xf>
    <xf numFmtId="0" fontId="24" fillId="0" borderId="69" xfId="21" applyFont="1" applyFill="1" applyBorder="1" applyAlignment="1">
      <alignment horizontal="center" vertical="center" wrapText="1"/>
      <protection/>
    </xf>
    <xf numFmtId="0" fontId="9" fillId="0" borderId="12" xfId="21" applyFont="1" applyFill="1" applyBorder="1" applyAlignment="1">
      <alignment horizontal="center" vertical="center" wrapText="1"/>
      <protection/>
    </xf>
    <xf numFmtId="3" fontId="26" fillId="0" borderId="12" xfId="21" applyNumberFormat="1" applyFont="1" applyFill="1" applyBorder="1" applyAlignment="1">
      <alignment horizontal="left" vertical="center" wrapText="1"/>
      <protection/>
    </xf>
    <xf numFmtId="0" fontId="32" fillId="0" borderId="70" xfId="21" applyFont="1" applyFill="1" applyBorder="1" applyAlignment="1">
      <alignment vertical="center" wrapText="1"/>
      <protection/>
    </xf>
    <xf numFmtId="3" fontId="32" fillId="0" borderId="26" xfId="21" applyNumberFormat="1" applyFont="1" applyFill="1" applyBorder="1" applyAlignment="1">
      <alignment vertical="center" wrapText="1"/>
      <protection/>
    </xf>
    <xf numFmtId="0" fontId="34" fillId="0" borderId="0" xfId="21" applyFont="1" applyAlignment="1">
      <alignment vertical="top"/>
      <protection/>
    </xf>
    <xf numFmtId="3" fontId="32" fillId="0" borderId="0" xfId="21" applyNumberFormat="1" applyFont="1" applyBorder="1" applyAlignment="1">
      <alignment vertical="center" wrapText="1"/>
      <protection/>
    </xf>
    <xf numFmtId="0" fontId="32" fillId="0" borderId="0" xfId="21" applyFont="1" applyAlignment="1">
      <alignment vertical="center" wrapText="1"/>
      <protection/>
    </xf>
    <xf numFmtId="0" fontId="36" fillId="0" borderId="0" xfId="21" applyFont="1">
      <alignment/>
      <protection/>
    </xf>
    <xf numFmtId="3" fontId="36" fillId="0" borderId="0" xfId="21" applyNumberFormat="1" applyFont="1">
      <alignment/>
      <protection/>
    </xf>
    <xf numFmtId="0" fontId="36" fillId="0" borderId="0" xfId="21" applyFont="1" applyAlignment="1">
      <alignment horizontal="right"/>
      <protection/>
    </xf>
    <xf numFmtId="0" fontId="39" fillId="0" borderId="0" xfId="21" applyFont="1">
      <alignment/>
      <protection/>
    </xf>
    <xf numFmtId="3" fontId="26" fillId="0" borderId="67" xfId="21" applyNumberFormat="1" applyFont="1" applyFill="1" applyBorder="1" applyAlignment="1">
      <alignment vertical="center" wrapText="1"/>
      <protection/>
    </xf>
    <xf numFmtId="3" fontId="26" fillId="0" borderId="59" xfId="21" applyNumberFormat="1" applyFont="1" applyFill="1" applyBorder="1" applyAlignment="1">
      <alignment vertical="center" wrapText="1"/>
      <protection/>
    </xf>
    <xf numFmtId="0" fontId="8" fillId="0" borderId="71" xfId="21" applyFont="1" applyFill="1" applyBorder="1" applyAlignment="1">
      <alignment horizontal="center" vertical="center" wrapText="1"/>
      <protection/>
    </xf>
    <xf numFmtId="4" fontId="9" fillId="0" borderId="0" xfId="23" applyNumberFormat="1">
      <alignment/>
      <protection/>
    </xf>
    <xf numFmtId="0" fontId="3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vertical="center" wrapText="1"/>
      <protection/>
    </xf>
    <xf numFmtId="0" fontId="31" fillId="0" borderId="0" xfId="20" applyFont="1">
      <alignment/>
      <protection/>
    </xf>
    <xf numFmtId="0" fontId="24" fillId="0" borderId="0" xfId="20" applyFont="1">
      <alignment/>
      <protection/>
    </xf>
    <xf numFmtId="3" fontId="24" fillId="0" borderId="0" xfId="20" applyNumberFormat="1" applyFont="1">
      <alignment/>
      <protection/>
    </xf>
    <xf numFmtId="0" fontId="8" fillId="0" borderId="0" xfId="20" applyFont="1" applyAlignment="1">
      <alignment horizontal="right" vertical="center"/>
      <protection/>
    </xf>
    <xf numFmtId="0" fontId="32" fillId="0" borderId="0" xfId="20" applyFont="1" applyAlignment="1">
      <alignment textRotation="180"/>
      <protection/>
    </xf>
    <xf numFmtId="0" fontId="32" fillId="5" borderId="42" xfId="20" applyFont="1" applyFill="1" applyBorder="1" applyAlignment="1">
      <alignment horizontal="center" vertical="center" wrapText="1"/>
      <protection/>
    </xf>
    <xf numFmtId="0" fontId="24" fillId="0" borderId="0" xfId="20" applyFont="1" applyAlignment="1">
      <alignment vertical="center" wrapText="1"/>
      <protection/>
    </xf>
    <xf numFmtId="0" fontId="32" fillId="5" borderId="10" xfId="20" applyFont="1" applyFill="1" applyBorder="1" applyAlignment="1">
      <alignment horizontal="center" vertical="center" wrapText="1"/>
      <protection/>
    </xf>
    <xf numFmtId="0" fontId="4" fillId="5" borderId="44" xfId="20" applyFont="1" applyFill="1" applyBorder="1" applyAlignment="1">
      <alignment horizontal="center" vertical="center" wrapText="1"/>
      <protection/>
    </xf>
    <xf numFmtId="0" fontId="4" fillId="5" borderId="8" xfId="20" applyFont="1" applyFill="1" applyBorder="1" applyAlignment="1">
      <alignment horizontal="center" vertical="center" wrapText="1"/>
      <protection/>
    </xf>
    <xf numFmtId="0" fontId="26" fillId="0" borderId="12" xfId="20" applyFont="1" applyFill="1" applyBorder="1" applyAlignment="1">
      <alignment horizontal="center" vertical="center" wrapText="1"/>
      <protection/>
    </xf>
    <xf numFmtId="0" fontId="8" fillId="0" borderId="12" xfId="20" applyFont="1" applyFill="1" applyBorder="1" applyAlignment="1">
      <alignment horizontal="center" vertical="center" wrapText="1"/>
      <protection/>
    </xf>
    <xf numFmtId="0" fontId="8" fillId="0" borderId="11" xfId="20" applyFont="1" applyFill="1" applyBorder="1" applyAlignment="1">
      <alignment horizontal="center" vertical="center" wrapText="1"/>
      <protection/>
    </xf>
    <xf numFmtId="0" fontId="8" fillId="0" borderId="7" xfId="20" applyFont="1" applyFill="1" applyBorder="1" applyAlignment="1">
      <alignment horizontal="center" vertical="center" wrapText="1"/>
      <protection/>
    </xf>
    <xf numFmtId="0" fontId="26" fillId="0" borderId="0" xfId="20" applyFont="1" applyFill="1" applyAlignment="1">
      <alignment horizontal="center" textRotation="180"/>
      <protection/>
    </xf>
    <xf numFmtId="0" fontId="26" fillId="0" borderId="0" xfId="20" applyFont="1" applyFill="1" applyAlignment="1">
      <alignment horizontal="center" vertical="center" wrapText="1"/>
      <protection/>
    </xf>
    <xf numFmtId="3" fontId="9" fillId="0" borderId="9" xfId="20" applyNumberFormat="1" applyFont="1" applyFill="1" applyBorder="1" applyAlignment="1">
      <alignment vertical="center" wrapText="1"/>
      <protection/>
    </xf>
    <xf numFmtId="3" fontId="24" fillId="0" borderId="10" xfId="20" applyNumberFormat="1" applyFont="1" applyFill="1" applyBorder="1" applyAlignment="1">
      <alignment vertical="center" wrapText="1"/>
      <protection/>
    </xf>
    <xf numFmtId="3" fontId="24" fillId="0" borderId="1" xfId="20" applyNumberFormat="1" applyFont="1" applyFill="1" applyBorder="1" applyAlignment="1">
      <alignment vertical="center" wrapText="1"/>
      <protection/>
    </xf>
    <xf numFmtId="3" fontId="24" fillId="0" borderId="40" xfId="20" applyNumberFormat="1" applyFont="1" applyFill="1" applyBorder="1" applyAlignment="1">
      <alignment vertical="center" wrapText="1"/>
      <protection/>
    </xf>
    <xf numFmtId="0" fontId="32" fillId="0" borderId="0" xfId="20" applyFont="1" applyFill="1" applyAlignment="1">
      <alignment textRotation="180"/>
      <protection/>
    </xf>
    <xf numFmtId="0" fontId="24" fillId="0" borderId="0" xfId="20" applyFont="1" applyFill="1" applyAlignment="1">
      <alignment vertical="center" wrapText="1"/>
      <protection/>
    </xf>
    <xf numFmtId="3" fontId="9" fillId="0" borderId="0" xfId="20" applyNumberFormat="1" applyFont="1" applyFill="1" applyBorder="1" applyAlignment="1">
      <alignment vertical="center" wrapText="1"/>
      <protection/>
    </xf>
    <xf numFmtId="3" fontId="24" fillId="0" borderId="0" xfId="20" applyNumberFormat="1" applyFont="1" applyFill="1" applyBorder="1" applyAlignment="1">
      <alignment vertical="center" wrapText="1"/>
      <protection/>
    </xf>
    <xf numFmtId="3" fontId="24" fillId="0" borderId="11" xfId="20" applyNumberFormat="1" applyFont="1" applyFill="1" applyBorder="1" applyAlignment="1">
      <alignment vertical="center" wrapText="1"/>
      <protection/>
    </xf>
    <xf numFmtId="3" fontId="9" fillId="0" borderId="31" xfId="20" applyNumberFormat="1" applyFont="1" applyFill="1" applyBorder="1" applyAlignment="1">
      <alignment vertical="center" wrapText="1"/>
      <protection/>
    </xf>
    <xf numFmtId="3" fontId="24" fillId="0" borderId="31" xfId="20" applyNumberFormat="1" applyFont="1" applyFill="1" applyBorder="1" applyAlignment="1">
      <alignment vertical="center" wrapText="1"/>
      <protection/>
    </xf>
    <xf numFmtId="3" fontId="24" fillId="0" borderId="12" xfId="20" applyNumberFormat="1" applyFont="1" applyFill="1" applyBorder="1" applyAlignment="1">
      <alignment vertical="center" wrapText="1"/>
      <protection/>
    </xf>
    <xf numFmtId="3" fontId="9" fillId="0" borderId="72" xfId="20" applyNumberFormat="1" applyFont="1" applyFill="1" applyBorder="1" applyAlignment="1">
      <alignment vertical="center" wrapText="1"/>
      <protection/>
    </xf>
    <xf numFmtId="3" fontId="9" fillId="0" borderId="59" xfId="20" applyNumberFormat="1" applyFont="1" applyFill="1" applyBorder="1" applyAlignment="1">
      <alignment vertical="center" wrapText="1"/>
      <protection/>
    </xf>
    <xf numFmtId="3" fontId="24" fillId="0" borderId="9" xfId="20" applyNumberFormat="1" applyFont="1" applyFill="1" applyBorder="1" applyAlignment="1">
      <alignment vertical="center" wrapText="1"/>
      <protection/>
    </xf>
    <xf numFmtId="3" fontId="24" fillId="0" borderId="44" xfId="20" applyNumberFormat="1" applyFont="1" applyFill="1" applyBorder="1" applyAlignment="1">
      <alignment vertical="center" wrapText="1"/>
      <protection/>
    </xf>
    <xf numFmtId="0" fontId="3" fillId="0" borderId="0" xfId="20" applyFont="1" applyBorder="1" applyAlignment="1">
      <alignment horizontal="center" vertical="center" wrapText="1"/>
      <protection/>
    </xf>
    <xf numFmtId="0" fontId="3" fillId="0" borderId="0" xfId="20" applyFont="1" applyBorder="1" applyAlignment="1">
      <alignment vertical="center" wrapText="1"/>
      <protection/>
    </xf>
    <xf numFmtId="0" fontId="31" fillId="0" borderId="0" xfId="20" applyFont="1" applyBorder="1">
      <alignment/>
      <protection/>
    </xf>
    <xf numFmtId="0" fontId="25" fillId="0" borderId="0" xfId="20" applyFont="1" applyFill="1" applyBorder="1" applyAlignment="1">
      <alignment horizontal="center" vertical="center" wrapText="1"/>
      <protection/>
    </xf>
    <xf numFmtId="0" fontId="23" fillId="0" borderId="0" xfId="20" applyFont="1" applyFill="1" applyBorder="1" applyAlignment="1">
      <alignment horizontal="center" vertical="center" wrapText="1"/>
      <protection/>
    </xf>
    <xf numFmtId="3" fontId="9" fillId="0" borderId="0" xfId="20" applyNumberFormat="1" applyFont="1" applyFill="1" applyBorder="1" applyAlignment="1">
      <alignment horizontal="center" vertical="center" wrapText="1"/>
      <protection/>
    </xf>
    <xf numFmtId="0" fontId="9" fillId="0" borderId="0" xfId="20" applyNumberFormat="1" applyFont="1" applyFill="1" applyBorder="1" applyAlignment="1">
      <alignment horizontal="center" vertical="center" wrapText="1"/>
      <protection/>
    </xf>
    <xf numFmtId="3" fontId="9" fillId="0" borderId="9" xfId="20" applyNumberFormat="1" applyFont="1" applyBorder="1" applyAlignment="1">
      <alignment vertical="center" wrapText="1"/>
      <protection/>
    </xf>
    <xf numFmtId="3" fontId="24" fillId="0" borderId="10" xfId="20" applyNumberFormat="1" applyFont="1" applyBorder="1" applyAlignment="1">
      <alignment vertical="center" wrapText="1"/>
      <protection/>
    </xf>
    <xf numFmtId="3" fontId="24" fillId="0" borderId="61" xfId="20" applyNumberFormat="1" applyFont="1" applyFill="1" applyBorder="1" applyAlignment="1">
      <alignment vertical="center" wrapText="1"/>
      <protection/>
    </xf>
    <xf numFmtId="3" fontId="9" fillId="0" borderId="72" xfId="20" applyNumberFormat="1" applyFont="1" applyBorder="1" applyAlignment="1">
      <alignment vertical="center" wrapText="1"/>
      <protection/>
    </xf>
    <xf numFmtId="3" fontId="9" fillId="0" borderId="59" xfId="20" applyNumberFormat="1" applyFont="1" applyBorder="1" applyAlignment="1">
      <alignment vertical="center" wrapText="1"/>
      <protection/>
    </xf>
    <xf numFmtId="3" fontId="24" fillId="0" borderId="73" xfId="20" applyNumberFormat="1" applyFont="1" applyFill="1" applyBorder="1" applyAlignment="1">
      <alignment vertical="center" wrapText="1"/>
      <protection/>
    </xf>
    <xf numFmtId="3" fontId="24" fillId="0" borderId="7" xfId="20" applyNumberFormat="1" applyFont="1" applyFill="1" applyBorder="1" applyAlignment="1">
      <alignment vertical="center" wrapText="1"/>
      <protection/>
    </xf>
    <xf numFmtId="3" fontId="9" fillId="0" borderId="74" xfId="20" applyNumberFormat="1" applyFont="1" applyFill="1" applyBorder="1" applyAlignment="1">
      <alignment vertical="center" wrapText="1"/>
      <protection/>
    </xf>
    <xf numFmtId="3" fontId="24" fillId="0" borderId="75" xfId="20" applyNumberFormat="1" applyFont="1" applyFill="1" applyBorder="1" applyAlignment="1">
      <alignment vertical="center" wrapText="1"/>
      <protection/>
    </xf>
    <xf numFmtId="3" fontId="24" fillId="0" borderId="8" xfId="20" applyNumberFormat="1" applyFont="1" applyFill="1" applyBorder="1" applyAlignment="1">
      <alignment vertical="center" wrapText="1"/>
      <protection/>
    </xf>
    <xf numFmtId="3" fontId="12" fillId="0" borderId="76" xfId="20" applyNumberFormat="1" applyFont="1" applyBorder="1" applyAlignment="1">
      <alignment vertical="center" wrapText="1"/>
      <protection/>
    </xf>
    <xf numFmtId="3" fontId="32" fillId="0" borderId="77" xfId="20" applyNumberFormat="1" applyFont="1" applyFill="1" applyBorder="1" applyAlignment="1">
      <alignment vertical="center" wrapText="1"/>
      <protection/>
    </xf>
    <xf numFmtId="3" fontId="32" fillId="0" borderId="34" xfId="20" applyNumberFormat="1" applyFont="1" applyFill="1" applyBorder="1" applyAlignment="1">
      <alignment vertical="center" wrapText="1"/>
      <protection/>
    </xf>
    <xf numFmtId="3" fontId="32" fillId="0" borderId="42" xfId="20" applyNumberFormat="1" applyFont="1" applyFill="1" applyBorder="1" applyAlignment="1">
      <alignment vertical="center" wrapText="1"/>
      <protection/>
    </xf>
    <xf numFmtId="3" fontId="32" fillId="0" borderId="78" xfId="20" applyNumberFormat="1" applyFont="1" applyFill="1" applyBorder="1" applyAlignment="1">
      <alignment vertical="center" wrapText="1"/>
      <protection/>
    </xf>
    <xf numFmtId="3" fontId="9" fillId="0" borderId="67" xfId="20" applyNumberFormat="1" applyFont="1" applyFill="1" applyBorder="1" applyAlignment="1">
      <alignment vertical="center" wrapText="1"/>
      <protection/>
    </xf>
    <xf numFmtId="3" fontId="24" fillId="0" borderId="64" xfId="20" applyNumberFormat="1" applyFont="1" applyFill="1" applyBorder="1" applyAlignment="1">
      <alignment vertical="center" wrapText="1"/>
      <protection/>
    </xf>
    <xf numFmtId="0" fontId="34" fillId="0" borderId="0" xfId="20" applyFont="1" applyAlignment="1">
      <alignment vertical="top"/>
      <protection/>
    </xf>
    <xf numFmtId="3" fontId="32" fillId="0" borderId="0" xfId="20" applyNumberFormat="1" applyFont="1" applyBorder="1" applyAlignment="1">
      <alignment vertical="center" wrapText="1"/>
      <protection/>
    </xf>
    <xf numFmtId="3" fontId="44" fillId="0" borderId="0" xfId="20" applyNumberFormat="1" applyFont="1">
      <alignment/>
      <protection/>
    </xf>
    <xf numFmtId="0" fontId="32" fillId="0" borderId="0" xfId="20" applyFont="1" applyAlignment="1">
      <alignment vertical="center" wrapText="1"/>
      <protection/>
    </xf>
    <xf numFmtId="0" fontId="36" fillId="0" borderId="0" xfId="20" applyFont="1">
      <alignment/>
      <protection/>
    </xf>
    <xf numFmtId="3" fontId="36" fillId="0" borderId="0" xfId="20" applyNumberFormat="1" applyFont="1">
      <alignment/>
      <protection/>
    </xf>
    <xf numFmtId="0" fontId="9" fillId="0" borderId="0" xfId="18" applyFont="1" applyFill="1">
      <alignment/>
      <protection/>
    </xf>
    <xf numFmtId="0" fontId="26" fillId="0" borderId="0" xfId="20" applyFont="1" applyBorder="1" applyAlignment="1">
      <alignment horizontal="right" vertical="center"/>
      <protection/>
    </xf>
    <xf numFmtId="0" fontId="14" fillId="0" borderId="0" xfId="18" applyFont="1" applyFill="1" applyAlignment="1">
      <alignment vertical="center"/>
      <protection/>
    </xf>
    <xf numFmtId="0" fontId="9" fillId="0" borderId="0" xfId="18" applyFont="1" applyFill="1" applyAlignment="1">
      <alignment vertical="center"/>
      <protection/>
    </xf>
    <xf numFmtId="0" fontId="12" fillId="0" borderId="79" xfId="18" applyFont="1" applyFill="1" applyBorder="1" applyAlignment="1">
      <alignment horizontal="center" vertical="center"/>
      <protection/>
    </xf>
    <xf numFmtId="0" fontId="12" fillId="0" borderId="12" xfId="18" applyFont="1" applyFill="1" applyBorder="1" applyAlignment="1">
      <alignment vertical="center" wrapText="1"/>
      <protection/>
    </xf>
    <xf numFmtId="0" fontId="9" fillId="0" borderId="11" xfId="18" applyFont="1" applyFill="1" applyBorder="1" applyAlignment="1">
      <alignment horizontal="center" vertical="center"/>
      <protection/>
    </xf>
    <xf numFmtId="49" fontId="35" fillId="0" borderId="11" xfId="18" applyNumberFormat="1" applyFont="1" applyFill="1" applyBorder="1" applyAlignment="1">
      <alignment vertical="center" wrapText="1"/>
      <protection/>
    </xf>
    <xf numFmtId="0" fontId="24" fillId="0" borderId="61" xfId="18" applyFont="1" applyFill="1" applyBorder="1" applyAlignment="1">
      <alignment vertical="center"/>
      <protection/>
    </xf>
    <xf numFmtId="3" fontId="25" fillId="0" borderId="12" xfId="18" applyNumberFormat="1" applyFont="1" applyFill="1" applyBorder="1" applyAlignment="1">
      <alignment horizontal="center" vertical="center"/>
      <protection/>
    </xf>
    <xf numFmtId="3" fontId="25" fillId="0" borderId="54" xfId="18" applyNumberFormat="1" applyFont="1" applyFill="1" applyBorder="1" applyAlignment="1">
      <alignment horizontal="center" vertical="center"/>
      <protection/>
    </xf>
    <xf numFmtId="0" fontId="9" fillId="0" borderId="79" xfId="18" applyFont="1" applyFill="1" applyBorder="1" applyAlignment="1">
      <alignment horizontal="center" vertical="center"/>
      <protection/>
    </xf>
    <xf numFmtId="0" fontId="12" fillId="0" borderId="1" xfId="18" applyFont="1" applyFill="1" applyBorder="1" applyAlignment="1">
      <alignment vertical="center" wrapText="1"/>
      <protection/>
    </xf>
    <xf numFmtId="0" fontId="35" fillId="0" borderId="11" xfId="18" applyFont="1" applyFill="1" applyBorder="1" applyAlignment="1">
      <alignment vertical="center"/>
      <protection/>
    </xf>
    <xf numFmtId="0" fontId="24" fillId="0" borderId="40" xfId="18" applyFont="1" applyFill="1" applyBorder="1" applyAlignment="1">
      <alignment vertical="center"/>
      <protection/>
    </xf>
    <xf numFmtId="3" fontId="23" fillId="0" borderId="1" xfId="18" applyNumberFormat="1" applyFont="1" applyFill="1" applyBorder="1" applyAlignment="1">
      <alignment horizontal="center" vertical="center"/>
      <protection/>
    </xf>
    <xf numFmtId="3" fontId="25" fillId="0" borderId="71" xfId="18" applyNumberFormat="1" applyFont="1" applyFill="1" applyBorder="1" applyAlignment="1">
      <alignment horizontal="center" vertical="center"/>
      <protection/>
    </xf>
    <xf numFmtId="0" fontId="9" fillId="0" borderId="80" xfId="18" applyFont="1" applyFill="1" applyBorder="1" applyAlignment="1">
      <alignment horizontal="center" vertical="center"/>
      <protection/>
    </xf>
    <xf numFmtId="0" fontId="9" fillId="0" borderId="28" xfId="18" applyFont="1" applyFill="1" applyBorder="1" applyAlignment="1">
      <alignment horizontal="center" vertical="center"/>
      <protection/>
    </xf>
    <xf numFmtId="0" fontId="35" fillId="0" borderId="28" xfId="18" applyFont="1" applyFill="1" applyBorder="1" applyAlignment="1">
      <alignment vertical="center"/>
      <protection/>
    </xf>
    <xf numFmtId="0" fontId="24" fillId="0" borderId="64" xfId="18" applyFont="1" applyFill="1" applyBorder="1" applyAlignment="1">
      <alignment vertical="center"/>
      <protection/>
    </xf>
    <xf numFmtId="3" fontId="23" fillId="0" borderId="63" xfId="18" applyNumberFormat="1" applyFont="1" applyFill="1" applyBorder="1" applyAlignment="1">
      <alignment horizontal="center" vertical="center"/>
      <protection/>
    </xf>
    <xf numFmtId="3" fontId="25" fillId="0" borderId="81" xfId="18" applyNumberFormat="1" applyFont="1" applyFill="1" applyBorder="1" applyAlignment="1">
      <alignment horizontal="center" vertical="center"/>
      <protection/>
    </xf>
    <xf numFmtId="0" fontId="12" fillId="0" borderId="34" xfId="18" applyFont="1" applyFill="1" applyBorder="1" applyAlignment="1">
      <alignment vertical="center"/>
      <protection/>
    </xf>
    <xf numFmtId="0" fontId="9" fillId="0" borderId="0" xfId="18" applyFont="1" applyFill="1" applyBorder="1" applyAlignment="1">
      <alignment vertical="center"/>
      <protection/>
    </xf>
    <xf numFmtId="0" fontId="26" fillId="0" borderId="11" xfId="18" applyFont="1" applyFill="1" applyBorder="1" applyAlignment="1">
      <alignment horizontal="center" vertical="center"/>
      <protection/>
    </xf>
    <xf numFmtId="0" fontId="26" fillId="0" borderId="28" xfId="18" applyFont="1" applyFill="1" applyBorder="1" applyAlignment="1">
      <alignment horizontal="center" vertical="center"/>
      <protection/>
    </xf>
    <xf numFmtId="0" fontId="12" fillId="0" borderId="82" xfId="18" applyFont="1" applyFill="1" applyBorder="1" applyAlignment="1">
      <alignment horizontal="center" vertical="center"/>
      <protection/>
    </xf>
    <xf numFmtId="0" fontId="12" fillId="0" borderId="34" xfId="18" applyFont="1" applyFill="1" applyBorder="1" applyAlignment="1">
      <alignment vertical="center"/>
      <protection/>
    </xf>
    <xf numFmtId="0" fontId="26" fillId="0" borderId="83" xfId="18" applyFont="1" applyFill="1" applyBorder="1" applyAlignment="1">
      <alignment horizontal="center" vertical="center"/>
      <protection/>
    </xf>
    <xf numFmtId="0" fontId="24" fillId="0" borderId="84" xfId="18" applyFont="1" applyFill="1" applyBorder="1" applyAlignment="1">
      <alignment vertical="center"/>
      <protection/>
    </xf>
    <xf numFmtId="1" fontId="25" fillId="0" borderId="34" xfId="18" applyNumberFormat="1" applyFont="1" applyFill="1" applyBorder="1" applyAlignment="1">
      <alignment horizontal="center" vertical="center"/>
      <protection/>
    </xf>
    <xf numFmtId="3" fontId="25" fillId="0" borderId="78" xfId="18" applyNumberFormat="1" applyFont="1" applyFill="1" applyBorder="1" applyAlignment="1">
      <alignment horizontal="center" vertical="center"/>
      <protection/>
    </xf>
    <xf numFmtId="0" fontId="9" fillId="0" borderId="0" xfId="18" applyFont="1" applyFill="1" applyBorder="1" applyAlignment="1">
      <alignment horizontal="center" vertical="center"/>
      <protection/>
    </xf>
    <xf numFmtId="0" fontId="26" fillId="0" borderId="0" xfId="18" applyFont="1" applyFill="1" applyBorder="1" applyAlignment="1">
      <alignment horizontal="center" vertical="center"/>
      <protection/>
    </xf>
    <xf numFmtId="0" fontId="26" fillId="0" borderId="0" xfId="18" applyFont="1" applyFill="1" applyBorder="1" applyAlignment="1">
      <alignment vertical="center"/>
      <protection/>
    </xf>
    <xf numFmtId="0" fontId="24" fillId="0" borderId="0" xfId="18" applyFont="1" applyFill="1" applyBorder="1" applyAlignment="1">
      <alignment vertical="center"/>
      <protection/>
    </xf>
    <xf numFmtId="3" fontId="23" fillId="0" borderId="0" xfId="18" applyNumberFormat="1" applyFont="1" applyFill="1" applyBorder="1" applyAlignment="1">
      <alignment horizontal="center" vertical="center"/>
      <protection/>
    </xf>
    <xf numFmtId="3" fontId="25" fillId="0" borderId="0" xfId="18" applyNumberFormat="1" applyFont="1" applyFill="1" applyBorder="1" applyAlignment="1">
      <alignment horizontal="center" vertical="center"/>
      <protection/>
    </xf>
    <xf numFmtId="49" fontId="35" fillId="0" borderId="83" xfId="18" applyNumberFormat="1" applyFont="1" applyFill="1" applyBorder="1" applyAlignment="1">
      <alignment vertical="center"/>
      <protection/>
    </xf>
    <xf numFmtId="0" fontId="38" fillId="0" borderId="0" xfId="18" applyFont="1" applyFill="1" applyAlignment="1">
      <alignment vertical="center"/>
      <protection/>
    </xf>
    <xf numFmtId="49" fontId="35" fillId="0" borderId="11" xfId="18" applyNumberFormat="1" applyFont="1" applyFill="1" applyBorder="1" applyAlignment="1">
      <alignment vertical="center"/>
      <protection/>
    </xf>
    <xf numFmtId="49" fontId="35" fillId="0" borderId="28" xfId="18" applyNumberFormat="1" applyFont="1" applyFill="1" applyBorder="1" applyAlignment="1">
      <alignment vertical="center"/>
      <protection/>
    </xf>
    <xf numFmtId="0" fontId="12" fillId="0" borderId="12" xfId="18" applyFont="1" applyFill="1" applyBorder="1" applyAlignment="1">
      <alignment vertical="center"/>
      <protection/>
    </xf>
    <xf numFmtId="49" fontId="35" fillId="0" borderId="11" xfId="18" applyNumberFormat="1" applyFont="1" applyFill="1" applyBorder="1" applyAlignment="1">
      <alignment horizontal="left" vertical="center"/>
      <protection/>
    </xf>
    <xf numFmtId="1" fontId="25" fillId="0" borderId="12" xfId="18" applyNumberFormat="1" applyFont="1" applyFill="1" applyBorder="1" applyAlignment="1">
      <alignment horizontal="center" vertical="center"/>
      <protection/>
    </xf>
    <xf numFmtId="0" fontId="23" fillId="0" borderId="1" xfId="18" applyNumberFormat="1" applyFont="1" applyFill="1" applyBorder="1" applyAlignment="1">
      <alignment horizontal="center" vertical="center"/>
      <protection/>
    </xf>
    <xf numFmtId="0" fontId="24" fillId="0" borderId="40" xfId="18" applyFont="1" applyFill="1" applyBorder="1" applyAlignment="1">
      <alignment vertical="center" wrapText="1"/>
      <protection/>
    </xf>
    <xf numFmtId="0" fontId="12" fillId="0" borderId="82" xfId="18" applyFont="1" applyFill="1" applyBorder="1" applyAlignment="1">
      <alignment horizontal="center" vertical="center"/>
      <protection/>
    </xf>
    <xf numFmtId="0" fontId="9" fillId="0" borderId="83" xfId="18" applyFont="1" applyFill="1" applyBorder="1" applyAlignment="1">
      <alignment horizontal="center" vertical="center"/>
      <protection/>
    </xf>
    <xf numFmtId="0" fontId="30" fillId="0" borderId="0" xfId="18" applyFont="1" applyFill="1">
      <alignment/>
      <protection/>
    </xf>
    <xf numFmtId="0" fontId="12" fillId="0" borderId="0" xfId="20" applyFont="1">
      <alignment/>
      <protection/>
    </xf>
    <xf numFmtId="3" fontId="7" fillId="0" borderId="0" xfId="0" applyNumberFormat="1" applyFont="1" applyAlignment="1">
      <alignment horizontal="center" vertical="center"/>
    </xf>
    <xf numFmtId="0" fontId="24" fillId="0" borderId="55" xfId="21" applyFont="1" applyFill="1" applyBorder="1" applyAlignment="1">
      <alignment horizontal="center" vertical="center" wrapText="1"/>
      <protection/>
    </xf>
    <xf numFmtId="0" fontId="9" fillId="0" borderId="7" xfId="21" applyFont="1" applyFill="1" applyBorder="1" applyAlignment="1">
      <alignment vertical="center" wrapText="1"/>
      <protection/>
    </xf>
    <xf numFmtId="0" fontId="9" fillId="0" borderId="7" xfId="21" applyNumberFormat="1" applyFont="1" applyFill="1" applyBorder="1" applyAlignment="1">
      <alignment horizontal="center" vertical="center" wrapText="1"/>
      <protection/>
    </xf>
    <xf numFmtId="3" fontId="24" fillId="0" borderId="7" xfId="21" applyNumberFormat="1" applyFont="1" applyFill="1" applyBorder="1" applyAlignment="1">
      <alignment horizontal="right" vertical="center" wrapText="1"/>
      <protection/>
    </xf>
    <xf numFmtId="3" fontId="24" fillId="0" borderId="7" xfId="21" applyNumberFormat="1" applyFont="1" applyFill="1" applyBorder="1" applyAlignment="1">
      <alignment vertical="center" wrapText="1"/>
      <protection/>
    </xf>
    <xf numFmtId="3" fontId="45" fillId="0" borderId="1" xfId="21" applyNumberFormat="1" applyFont="1" applyFill="1" applyBorder="1" applyAlignment="1">
      <alignment horizontal="center" vertical="center" wrapText="1"/>
      <protection/>
    </xf>
    <xf numFmtId="3" fontId="24" fillId="0" borderId="1" xfId="21" applyNumberFormat="1" applyFont="1" applyFill="1" applyBorder="1" applyAlignment="1">
      <alignment horizontal="right" vertical="center" wrapText="1"/>
      <protection/>
    </xf>
    <xf numFmtId="0" fontId="24" fillId="0" borderId="36" xfId="21" applyFont="1" applyFill="1" applyBorder="1" applyAlignment="1">
      <alignment horizontal="center" vertical="center" wrapText="1"/>
      <protection/>
    </xf>
    <xf numFmtId="3" fontId="26" fillId="0" borderId="1" xfId="21" applyNumberFormat="1" applyFont="1" applyFill="1" applyBorder="1" applyAlignment="1">
      <alignment vertical="center" wrapText="1"/>
      <protection/>
    </xf>
    <xf numFmtId="3" fontId="9" fillId="0" borderId="63" xfId="21" applyNumberFormat="1" applyFont="1" applyFill="1" applyBorder="1" applyAlignment="1">
      <alignment vertical="center" wrapText="1"/>
      <protection/>
    </xf>
    <xf numFmtId="0" fontId="9" fillId="0" borderId="1" xfId="21" applyFont="1" applyFill="1" applyBorder="1" applyAlignment="1">
      <alignment horizontal="left" vertical="center" wrapText="1"/>
      <protection/>
    </xf>
    <xf numFmtId="0" fontId="9" fillId="0" borderId="61" xfId="21" applyNumberFormat="1" applyFont="1" applyFill="1" applyBorder="1" applyAlignment="1">
      <alignment horizontal="center" vertical="center" wrapText="1"/>
      <protection/>
    </xf>
    <xf numFmtId="0" fontId="9" fillId="0" borderId="61" xfId="21" applyFont="1" applyFill="1" applyBorder="1" applyAlignment="1">
      <alignment horizontal="center" vertical="center" wrapText="1"/>
      <protection/>
    </xf>
    <xf numFmtId="3" fontId="33" fillId="0" borderId="12" xfId="21" applyNumberFormat="1" applyFont="1" applyFill="1" applyBorder="1" applyAlignment="1">
      <alignment vertical="center" wrapText="1"/>
      <protection/>
    </xf>
    <xf numFmtId="0" fontId="24" fillId="0" borderId="85" xfId="21" applyFont="1" applyFill="1" applyBorder="1" applyAlignment="1">
      <alignment horizontal="center" vertical="center" wrapText="1"/>
      <protection/>
    </xf>
    <xf numFmtId="0" fontId="9" fillId="0" borderId="11" xfId="21" applyFont="1" applyFill="1" applyBorder="1" applyAlignment="1">
      <alignment horizontal="left" vertical="center" wrapText="1"/>
      <protection/>
    </xf>
    <xf numFmtId="0" fontId="9" fillId="0" borderId="8" xfId="21" applyFont="1" applyFill="1" applyBorder="1" applyAlignment="1">
      <alignment horizontal="center" vertical="center" wrapText="1"/>
      <protection/>
    </xf>
    <xf numFmtId="3" fontId="24" fillId="0" borderId="11" xfId="21" applyNumberFormat="1" applyFont="1" applyFill="1" applyBorder="1" applyAlignment="1">
      <alignment vertical="center" wrapText="1"/>
      <protection/>
    </xf>
    <xf numFmtId="3" fontId="33" fillId="0" borderId="11" xfId="21" applyNumberFormat="1" applyFont="1" applyFill="1" applyBorder="1" applyAlignment="1">
      <alignment vertical="center" wrapText="1"/>
      <protection/>
    </xf>
    <xf numFmtId="3" fontId="24" fillId="0" borderId="72" xfId="21" applyNumberFormat="1" applyFont="1" applyFill="1" applyBorder="1" applyAlignment="1">
      <alignment vertical="center" wrapText="1"/>
      <protection/>
    </xf>
    <xf numFmtId="0" fontId="9" fillId="0" borderId="63" xfId="21" applyFont="1" applyFill="1" applyBorder="1" applyAlignment="1">
      <alignment horizontal="left" vertical="center" wrapText="1"/>
      <protection/>
    </xf>
    <xf numFmtId="0" fontId="9" fillId="0" borderId="64" xfId="21" applyFont="1" applyFill="1" applyBorder="1" applyAlignment="1">
      <alignment horizontal="center" vertical="center" wrapText="1"/>
      <protection/>
    </xf>
    <xf numFmtId="3" fontId="33" fillId="0" borderId="63" xfId="21" applyNumberFormat="1" applyFont="1" applyFill="1" applyBorder="1" applyAlignment="1">
      <alignment vertical="center" wrapText="1"/>
      <protection/>
    </xf>
    <xf numFmtId="3" fontId="46" fillId="0" borderId="63" xfId="21" applyNumberFormat="1" applyFont="1" applyFill="1" applyBorder="1" applyAlignment="1">
      <alignment vertical="center" wrapText="1"/>
      <protection/>
    </xf>
    <xf numFmtId="0" fontId="26" fillId="0" borderId="36" xfId="21" applyFont="1" applyFill="1" applyBorder="1" applyAlignment="1">
      <alignment horizontal="center" vertical="center" wrapText="1"/>
      <protection/>
    </xf>
    <xf numFmtId="0" fontId="26" fillId="0" borderId="1" xfId="21" applyFont="1" applyFill="1" applyBorder="1" applyAlignment="1">
      <alignment horizontal="center" vertical="center" wrapText="1"/>
      <protection/>
    </xf>
    <xf numFmtId="3" fontId="8" fillId="0" borderId="1" xfId="21" applyNumberFormat="1" applyFont="1" applyFill="1" applyBorder="1" applyAlignment="1">
      <alignment horizontal="center" vertical="center" wrapText="1"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3" fontId="9" fillId="0" borderId="14" xfId="21" applyNumberFormat="1" applyFont="1" applyFill="1" applyBorder="1" applyAlignment="1">
      <alignment vertical="center" wrapText="1"/>
      <protection/>
    </xf>
    <xf numFmtId="3" fontId="9" fillId="0" borderId="52" xfId="21" applyNumberFormat="1" applyFont="1" applyFill="1" applyBorder="1" applyAlignment="1">
      <alignment vertical="center" wrapText="1"/>
      <protection/>
    </xf>
    <xf numFmtId="3" fontId="47" fillId="0" borderId="59" xfId="21" applyNumberFormat="1" applyFont="1" applyFill="1" applyBorder="1" applyAlignment="1">
      <alignment vertical="center" wrapText="1"/>
      <protection/>
    </xf>
    <xf numFmtId="3" fontId="9" fillId="0" borderId="29" xfId="21" applyNumberFormat="1" applyFont="1" applyFill="1" applyBorder="1" applyAlignment="1">
      <alignment vertical="center" wrapText="1"/>
      <protection/>
    </xf>
    <xf numFmtId="3" fontId="33" fillId="0" borderId="86" xfId="21" applyNumberFormat="1" applyFont="1" applyFill="1" applyBorder="1" applyAlignment="1">
      <alignment vertical="center" wrapText="1"/>
      <protection/>
    </xf>
    <xf numFmtId="3" fontId="33" fillId="0" borderId="87" xfId="21" applyNumberFormat="1" applyFont="1" applyFill="1" applyBorder="1" applyAlignment="1">
      <alignment vertical="center" wrapText="1"/>
      <protection/>
    </xf>
    <xf numFmtId="3" fontId="33" fillId="0" borderId="84" xfId="21" applyNumberFormat="1" applyFont="1" applyFill="1" applyBorder="1" applyAlignment="1">
      <alignment vertical="center" wrapText="1"/>
      <protection/>
    </xf>
    <xf numFmtId="0" fontId="24" fillId="0" borderId="57" xfId="21" applyFont="1" applyFill="1" applyBorder="1" applyAlignment="1">
      <alignment vertical="center" wrapText="1"/>
      <protection/>
    </xf>
    <xf numFmtId="0" fontId="24" fillId="0" borderId="0" xfId="21" applyFont="1" applyFill="1" applyBorder="1" applyAlignment="1">
      <alignment horizontal="center" vertical="center" wrapText="1"/>
      <protection/>
    </xf>
    <xf numFmtId="0" fontId="9" fillId="0" borderId="0" xfId="21" applyFont="1" applyFill="1" applyBorder="1" applyAlignment="1">
      <alignment vertical="center" wrapText="1"/>
      <protection/>
    </xf>
    <xf numFmtId="1" fontId="9" fillId="0" borderId="0" xfId="21" applyNumberFormat="1" applyFont="1" applyFill="1" applyBorder="1" applyAlignment="1">
      <alignment horizontal="center" vertical="center" wrapText="1"/>
      <protection/>
    </xf>
    <xf numFmtId="3" fontId="24" fillId="0" borderId="0" xfId="21" applyNumberFormat="1" applyFont="1" applyFill="1" applyBorder="1" applyAlignment="1">
      <alignment vertical="center" wrapText="1"/>
      <protection/>
    </xf>
    <xf numFmtId="0" fontId="26" fillId="0" borderId="88" xfId="21" applyFont="1" applyFill="1" applyBorder="1" applyAlignment="1">
      <alignment horizontal="center" vertical="center" wrapText="1"/>
      <protection/>
    </xf>
    <xf numFmtId="0" fontId="26" fillId="0" borderId="83" xfId="21" applyFont="1" applyFill="1" applyBorder="1" applyAlignment="1">
      <alignment horizontal="center" vertical="center" wrapText="1"/>
      <protection/>
    </xf>
    <xf numFmtId="3" fontId="8" fillId="0" borderId="83" xfId="21" applyNumberFormat="1" applyFont="1" applyFill="1" applyBorder="1" applyAlignment="1">
      <alignment horizontal="center" vertical="center" wrapText="1"/>
      <protection/>
    </xf>
    <xf numFmtId="0" fontId="8" fillId="0" borderId="83" xfId="21" applyFont="1" applyFill="1" applyBorder="1" applyAlignment="1">
      <alignment horizontal="center" vertical="center" wrapText="1"/>
      <protection/>
    </xf>
    <xf numFmtId="3" fontId="48" fillId="0" borderId="12" xfId="21" applyNumberFormat="1" applyFont="1" applyFill="1" applyBorder="1" applyAlignment="1">
      <alignment vertical="center" wrapText="1"/>
      <protection/>
    </xf>
    <xf numFmtId="0" fontId="24" fillId="0" borderId="66" xfId="21" applyFont="1" applyFill="1" applyBorder="1" applyAlignment="1">
      <alignment vertical="center" wrapText="1"/>
      <protection/>
    </xf>
    <xf numFmtId="1" fontId="9" fillId="0" borderId="28" xfId="21" applyNumberFormat="1" applyFont="1" applyFill="1" applyBorder="1" applyAlignment="1">
      <alignment horizontal="center" vertical="center" wrapText="1"/>
      <protection/>
    </xf>
    <xf numFmtId="3" fontId="48" fillId="0" borderId="28" xfId="21" applyNumberFormat="1" applyFont="1" applyFill="1" applyBorder="1" applyAlignment="1">
      <alignment vertical="center" wrapText="1"/>
      <protection/>
    </xf>
    <xf numFmtId="3" fontId="33" fillId="0" borderId="89" xfId="21" applyNumberFormat="1" applyFont="1" applyFill="1" applyBorder="1" applyAlignment="1">
      <alignment vertical="center" wrapText="1"/>
      <protection/>
    </xf>
    <xf numFmtId="3" fontId="33" fillId="0" borderId="90" xfId="21" applyNumberFormat="1" applyFont="1" applyFill="1" applyBorder="1" applyAlignment="1">
      <alignment vertical="center" wrapText="1"/>
      <protection/>
    </xf>
    <xf numFmtId="1" fontId="9" fillId="0" borderId="75" xfId="21" applyNumberFormat="1" applyFont="1" applyFill="1" applyBorder="1" applyAlignment="1">
      <alignment horizontal="center" vertical="center" wrapText="1"/>
      <protection/>
    </xf>
    <xf numFmtId="3" fontId="26" fillId="0" borderId="28" xfId="21" applyNumberFormat="1" applyFont="1" applyFill="1" applyBorder="1" applyAlignment="1">
      <alignment horizontal="left" vertical="center" wrapText="1"/>
      <protection/>
    </xf>
    <xf numFmtId="3" fontId="32" fillId="0" borderId="83" xfId="22" applyNumberFormat="1" applyFont="1" applyFill="1" applyBorder="1" applyAlignment="1">
      <alignment vertical="center" wrapText="1"/>
      <protection/>
    </xf>
    <xf numFmtId="0" fontId="32" fillId="0" borderId="0" xfId="22" applyFont="1" applyFill="1" applyAlignment="1">
      <alignment textRotation="180"/>
      <protection/>
    </xf>
    <xf numFmtId="0" fontId="24" fillId="0" borderId="0" xfId="22" applyFont="1" applyFill="1" applyAlignment="1">
      <alignment vertical="center" wrapText="1"/>
      <protection/>
    </xf>
    <xf numFmtId="3" fontId="33" fillId="0" borderId="58" xfId="22" applyNumberFormat="1" applyFont="1" applyFill="1" applyBorder="1" applyAlignment="1">
      <alignment vertical="center" wrapText="1"/>
      <protection/>
    </xf>
    <xf numFmtId="3" fontId="33" fillId="0" borderId="68" xfId="22" applyNumberFormat="1" applyFont="1" applyFill="1" applyBorder="1" applyAlignment="1">
      <alignment vertical="center" wrapText="1"/>
      <protection/>
    </xf>
    <xf numFmtId="0" fontId="24" fillId="0" borderId="57" xfId="22" applyFont="1" applyFill="1" applyBorder="1" applyAlignment="1">
      <alignment horizontal="center" vertical="center" wrapText="1"/>
      <protection/>
    </xf>
    <xf numFmtId="0" fontId="9" fillId="0" borderId="12" xfId="22" applyFont="1" applyFill="1" applyBorder="1" applyAlignment="1">
      <alignment vertical="center" wrapText="1"/>
      <protection/>
    </xf>
    <xf numFmtId="1" fontId="9" fillId="0" borderId="12" xfId="22" applyNumberFormat="1" applyFont="1" applyFill="1" applyBorder="1" applyAlignment="1">
      <alignment horizontal="center" vertical="center" wrapText="1"/>
      <protection/>
    </xf>
    <xf numFmtId="3" fontId="24" fillId="0" borderId="12" xfId="22" applyNumberFormat="1" applyFont="1" applyFill="1" applyBorder="1" applyAlignment="1">
      <alignment vertical="center" wrapText="1"/>
      <protection/>
    </xf>
    <xf numFmtId="1" fontId="9" fillId="0" borderId="1" xfId="21" applyNumberFormat="1" applyFont="1" applyFill="1" applyBorder="1" applyAlignment="1">
      <alignment horizontal="center" vertical="center" wrapText="1"/>
      <protection/>
    </xf>
    <xf numFmtId="3" fontId="33" fillId="0" borderId="91" xfId="21" applyNumberFormat="1" applyFont="1" applyFill="1" applyBorder="1" applyAlignment="1">
      <alignment vertical="center" wrapText="1"/>
      <protection/>
    </xf>
    <xf numFmtId="0" fontId="0" fillId="0" borderId="0" xfId="22">
      <alignment/>
      <protection/>
    </xf>
    <xf numFmtId="0" fontId="3" fillId="0" borderId="0" xfId="22" applyFont="1" applyAlignment="1">
      <alignment horizontal="center" vertical="center"/>
      <protection/>
    </xf>
    <xf numFmtId="0" fontId="0" fillId="0" borderId="0" xfId="22" applyAlignment="1">
      <alignment horizontal="right"/>
      <protection/>
    </xf>
    <xf numFmtId="0" fontId="8" fillId="0" borderId="0" xfId="22" applyFont="1" applyAlignment="1">
      <alignment horizontal="right"/>
      <protection/>
    </xf>
    <xf numFmtId="0" fontId="12" fillId="2" borderId="1" xfId="22" applyFont="1" applyFill="1" applyBorder="1" applyAlignment="1">
      <alignment horizontal="center" vertical="center" wrapText="1"/>
      <protection/>
    </xf>
    <xf numFmtId="0" fontId="9" fillId="0" borderId="0" xfId="22" applyFont="1" applyAlignment="1">
      <alignment horizontal="center" vertical="center"/>
      <protection/>
    </xf>
    <xf numFmtId="0" fontId="12" fillId="2" borderId="35" xfId="22" applyFont="1" applyFill="1" applyBorder="1" applyAlignment="1">
      <alignment horizontal="center" vertical="center" wrapText="1"/>
      <protection/>
    </xf>
    <xf numFmtId="0" fontId="12" fillId="2" borderId="40" xfId="22" applyFont="1" applyFill="1" applyBorder="1" applyAlignment="1">
      <alignment horizontal="center" vertical="center" wrapText="1"/>
      <protection/>
    </xf>
    <xf numFmtId="0" fontId="14" fillId="0" borderId="1" xfId="22" applyFont="1" applyBorder="1" applyAlignment="1">
      <alignment horizontal="center" wrapText="1"/>
      <protection/>
    </xf>
    <xf numFmtId="0" fontId="14" fillId="0" borderId="9" xfId="22" applyFont="1" applyBorder="1" applyAlignment="1">
      <alignment horizontal="center" wrapText="1"/>
      <protection/>
    </xf>
    <xf numFmtId="0" fontId="14" fillId="0" borderId="19" xfId="22" applyFont="1" applyBorder="1" applyAlignment="1">
      <alignment horizontal="center" wrapText="1"/>
      <protection/>
    </xf>
    <xf numFmtId="0" fontId="14" fillId="0" borderId="40" xfId="22" applyFont="1" applyBorder="1" applyAlignment="1">
      <alignment horizontal="center" wrapText="1"/>
      <protection/>
    </xf>
    <xf numFmtId="0" fontId="14" fillId="0" borderId="0" xfId="22" applyFont="1">
      <alignment/>
      <protection/>
    </xf>
    <xf numFmtId="0" fontId="12" fillId="0" borderId="1" xfId="22" applyFont="1" applyBorder="1" applyAlignment="1">
      <alignment horizontal="center" vertical="center" wrapText="1"/>
      <protection/>
    </xf>
    <xf numFmtId="0" fontId="12" fillId="0" borderId="1" xfId="22" applyFont="1" applyBorder="1" applyAlignment="1">
      <alignment horizontal="left" vertical="center" wrapText="1"/>
      <protection/>
    </xf>
    <xf numFmtId="3" fontId="9" fillId="0" borderId="9" xfId="22" applyNumberFormat="1" applyFont="1" applyBorder="1" applyAlignment="1">
      <alignment horizontal="right" vertical="center" wrapText="1"/>
      <protection/>
    </xf>
    <xf numFmtId="3" fontId="9" fillId="0" borderId="19" xfId="22" applyNumberFormat="1" applyFont="1" applyBorder="1" applyAlignment="1">
      <alignment horizontal="right" vertical="center" wrapText="1"/>
      <protection/>
    </xf>
    <xf numFmtId="3" fontId="9" fillId="0" borderId="40" xfId="22" applyNumberFormat="1" applyFont="1" applyBorder="1" applyAlignment="1">
      <alignment horizontal="right" vertical="center" wrapText="1"/>
      <protection/>
    </xf>
    <xf numFmtId="3" fontId="9" fillId="0" borderId="1" xfId="22" applyNumberFormat="1" applyFont="1" applyBorder="1" applyAlignment="1">
      <alignment horizontal="right" vertical="center" wrapText="1"/>
      <protection/>
    </xf>
    <xf numFmtId="0" fontId="12" fillId="0" borderId="1" xfId="22" applyFont="1" applyBorder="1" applyAlignment="1">
      <alignment vertical="center" wrapText="1"/>
      <protection/>
    </xf>
    <xf numFmtId="0" fontId="9" fillId="0" borderId="0" xfId="22" applyFont="1" applyAlignment="1">
      <alignment vertical="center"/>
      <protection/>
    </xf>
    <xf numFmtId="0" fontId="9" fillId="0" borderId="1" xfId="22" applyFont="1" applyBorder="1" applyAlignment="1">
      <alignment horizontal="center" vertical="center" wrapText="1"/>
      <protection/>
    </xf>
    <xf numFmtId="0" fontId="9" fillId="0" borderId="1" xfId="22" applyFont="1" applyBorder="1" applyAlignment="1">
      <alignment horizontal="left" vertical="center" wrapText="1"/>
      <protection/>
    </xf>
    <xf numFmtId="3" fontId="9" fillId="0" borderId="0" xfId="22" applyNumberFormat="1" applyFont="1" applyAlignment="1">
      <alignment vertical="center"/>
      <protection/>
    </xf>
    <xf numFmtId="3" fontId="12" fillId="0" borderId="9" xfId="22" applyNumberFormat="1" applyFont="1" applyBorder="1" applyAlignment="1">
      <alignment horizontal="right" vertical="center" wrapText="1"/>
      <protection/>
    </xf>
    <xf numFmtId="3" fontId="12" fillId="0" borderId="19" xfId="22" applyNumberFormat="1" applyFont="1" applyBorder="1" applyAlignment="1">
      <alignment horizontal="right" vertical="center" wrapText="1"/>
      <protection/>
    </xf>
    <xf numFmtId="3" fontId="12" fillId="0" borderId="40" xfId="22" applyNumberFormat="1" applyFont="1" applyBorder="1" applyAlignment="1">
      <alignment horizontal="right" vertical="center" wrapText="1"/>
      <protection/>
    </xf>
    <xf numFmtId="3" fontId="12" fillId="0" borderId="1" xfId="22" applyNumberFormat="1" applyFont="1" applyBorder="1" applyAlignment="1">
      <alignment horizontal="right" vertical="center" wrapText="1"/>
      <protection/>
    </xf>
    <xf numFmtId="3" fontId="29" fillId="0" borderId="9" xfId="22" applyNumberFormat="1" applyFont="1" applyBorder="1" applyAlignment="1">
      <alignment horizontal="right" vertical="center" wrapText="1"/>
      <protection/>
    </xf>
    <xf numFmtId="3" fontId="29" fillId="0" borderId="19" xfId="22" applyNumberFormat="1" applyFont="1" applyBorder="1" applyAlignment="1">
      <alignment horizontal="right" vertical="center" wrapText="1"/>
      <protection/>
    </xf>
    <xf numFmtId="3" fontId="29" fillId="0" borderId="40" xfId="22" applyNumberFormat="1" applyFont="1" applyBorder="1" applyAlignment="1">
      <alignment horizontal="right" vertical="center" wrapText="1"/>
      <protection/>
    </xf>
    <xf numFmtId="3" fontId="29" fillId="0" borderId="1" xfId="22" applyNumberFormat="1" applyFont="1" applyBorder="1" applyAlignment="1">
      <alignment horizontal="right" vertical="center" wrapText="1"/>
      <protection/>
    </xf>
    <xf numFmtId="0" fontId="12" fillId="0" borderId="0" xfId="22" applyFont="1" applyAlignment="1">
      <alignment vertical="center"/>
      <protection/>
    </xf>
    <xf numFmtId="0" fontId="9" fillId="0" borderId="0" xfId="22" applyFont="1" applyAlignment="1">
      <alignment horizontal="right" vertical="center"/>
      <protection/>
    </xf>
    <xf numFmtId="0" fontId="9" fillId="0" borderId="0" xfId="22" applyFont="1" applyAlignment="1">
      <alignment horizontal="left" vertical="center"/>
      <protection/>
    </xf>
    <xf numFmtId="0" fontId="12" fillId="0" borderId="9" xfId="22" applyFont="1" applyBorder="1" applyAlignment="1">
      <alignment horizontal="left" vertical="center" wrapText="1"/>
      <protection/>
    </xf>
    <xf numFmtId="10" fontId="9" fillId="0" borderId="71" xfId="22" applyNumberFormat="1" applyFont="1" applyBorder="1" applyAlignment="1">
      <alignment horizontal="right" vertical="center" wrapText="1"/>
      <protection/>
    </xf>
    <xf numFmtId="10" fontId="9" fillId="0" borderId="19" xfId="22" applyNumberFormat="1" applyFont="1" applyBorder="1" applyAlignment="1">
      <alignment horizontal="right" vertical="center" wrapText="1"/>
      <protection/>
    </xf>
    <xf numFmtId="10" fontId="9" fillId="0" borderId="40" xfId="22" applyNumberFormat="1" applyFont="1" applyBorder="1" applyAlignment="1">
      <alignment horizontal="right" vertical="center" wrapText="1"/>
      <protection/>
    </xf>
    <xf numFmtId="10" fontId="9" fillId="0" borderId="1" xfId="22" applyNumberFormat="1" applyFont="1" applyBorder="1" applyAlignment="1">
      <alignment horizontal="right" vertical="center" wrapText="1"/>
      <protection/>
    </xf>
    <xf numFmtId="10" fontId="9" fillId="0" borderId="92" xfId="22" applyNumberFormat="1" applyFont="1" applyBorder="1" applyAlignment="1">
      <alignment horizontal="right" vertical="center" wrapText="1"/>
      <protection/>
    </xf>
    <xf numFmtId="0" fontId="9" fillId="0" borderId="0" xfId="22" applyFont="1">
      <alignment/>
      <protection/>
    </xf>
    <xf numFmtId="0" fontId="0" fillId="0" borderId="0" xfId="22" applyAlignment="1">
      <alignment vertical="center"/>
      <protection/>
    </xf>
    <xf numFmtId="0" fontId="6" fillId="0" borderId="0" xfId="22" applyFont="1" applyAlignment="1">
      <alignment horizontal="right" vertical="center"/>
      <protection/>
    </xf>
    <xf numFmtId="0" fontId="1" fillId="0" borderId="1" xfId="22" applyFont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0" fillId="0" borderId="2" xfId="22" applyFont="1" applyBorder="1" applyAlignment="1">
      <alignment horizontal="center"/>
      <protection/>
    </xf>
    <xf numFmtId="0" fontId="0" fillId="0" borderId="2" xfId="22" applyFont="1" applyBorder="1" applyAlignment="1">
      <alignment wrapText="1"/>
      <protection/>
    </xf>
    <xf numFmtId="3" fontId="0" fillId="0" borderId="2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 wrapText="1"/>
      <protection/>
    </xf>
    <xf numFmtId="0" fontId="0" fillId="0" borderId="1" xfId="22" applyFont="1" applyBorder="1">
      <alignment/>
      <protection/>
    </xf>
    <xf numFmtId="0" fontId="0" fillId="0" borderId="1" xfId="22" applyFont="1" applyBorder="1" applyAlignment="1">
      <alignment horizontal="center"/>
      <protection/>
    </xf>
    <xf numFmtId="0" fontId="0" fillId="0" borderId="1" xfId="22" applyFont="1" applyBorder="1" applyAlignment="1">
      <alignment wrapText="1"/>
      <protection/>
    </xf>
    <xf numFmtId="0" fontId="0" fillId="0" borderId="1" xfId="22" applyFont="1" applyBorder="1" applyAlignment="1">
      <alignment vertical="center" wrapText="1"/>
      <protection/>
    </xf>
    <xf numFmtId="3" fontId="0" fillId="0" borderId="1" xfId="22" applyNumberFormat="1" applyFont="1" applyBorder="1" applyAlignment="1">
      <alignment vertical="center"/>
      <protection/>
    </xf>
    <xf numFmtId="0" fontId="0" fillId="0" borderId="13" xfId="22" applyFont="1" applyBorder="1" applyAlignment="1">
      <alignment vertical="center"/>
      <protection/>
    </xf>
    <xf numFmtId="3" fontId="0" fillId="0" borderId="14" xfId="22" applyNumberFormat="1" applyFont="1" applyBorder="1" applyAlignment="1">
      <alignment vertical="center"/>
      <protection/>
    </xf>
    <xf numFmtId="0" fontId="0" fillId="0" borderId="71" xfId="0" applyBorder="1" applyAlignment="1">
      <alignment vertical="top" wrapText="1"/>
    </xf>
    <xf numFmtId="0" fontId="20" fillId="2" borderId="15" xfId="0" applyFont="1" applyFill="1" applyBorder="1" applyAlignment="1">
      <alignment horizontal="center" textRotation="90" wrapText="1"/>
    </xf>
    <xf numFmtId="0" fontId="1" fillId="0" borderId="19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3" fontId="23" fillId="0" borderId="0" xfId="0" applyNumberFormat="1" applyFont="1" applyAlignment="1">
      <alignment horizontal="center" vertical="center"/>
    </xf>
    <xf numFmtId="49" fontId="24" fillId="0" borderId="93" xfId="0" applyNumberFormat="1" applyFont="1" applyBorder="1" applyAlignment="1">
      <alignment horizontal="center" vertical="center" wrapText="1"/>
    </xf>
    <xf numFmtId="0" fontId="24" fillId="0" borderId="93" xfId="0" applyFont="1" applyBorder="1" applyAlignment="1">
      <alignment horizontal="left" vertical="center" wrapText="1"/>
    </xf>
    <xf numFmtId="3" fontId="24" fillId="0" borderId="94" xfId="0" applyNumberFormat="1" applyFont="1" applyBorder="1" applyAlignment="1">
      <alignment vertical="center" wrapText="1"/>
    </xf>
    <xf numFmtId="3" fontId="24" fillId="0" borderId="93" xfId="0" applyNumberFormat="1" applyFont="1" applyBorder="1" applyAlignment="1">
      <alignment vertical="center" wrapText="1"/>
    </xf>
    <xf numFmtId="3" fontId="25" fillId="0" borderId="33" xfId="0" applyNumberFormat="1" applyFont="1" applyBorder="1" applyAlignment="1">
      <alignment horizontal="right" vertical="center" wrapText="1"/>
    </xf>
    <xf numFmtId="0" fontId="13" fillId="0" borderId="85" xfId="0" applyFont="1" applyBorder="1" applyAlignment="1">
      <alignment horizontal="center" vertical="center" wrapText="1"/>
    </xf>
    <xf numFmtId="0" fontId="13" fillId="0" borderId="95" xfId="0" applyFont="1" applyBorder="1" applyAlignment="1">
      <alignment horizontal="center" vertical="center" wrapText="1"/>
    </xf>
    <xf numFmtId="49" fontId="24" fillId="0" borderId="96" xfId="0" applyNumberFormat="1" applyFont="1" applyBorder="1" applyAlignment="1">
      <alignment horizontal="center" vertical="center" wrapText="1"/>
    </xf>
    <xf numFmtId="3" fontId="24" fillId="0" borderId="95" xfId="0" applyNumberFormat="1" applyFont="1" applyBorder="1" applyAlignment="1">
      <alignment vertical="center" wrapText="1"/>
    </xf>
    <xf numFmtId="49" fontId="24" fillId="0" borderId="97" xfId="0" applyNumberFormat="1" applyFont="1" applyBorder="1" applyAlignment="1">
      <alignment horizontal="center" vertical="center" wrapText="1"/>
    </xf>
    <xf numFmtId="3" fontId="24" fillId="0" borderId="71" xfId="0" applyNumberFormat="1" applyFont="1" applyBorder="1" applyAlignment="1">
      <alignment vertical="center" wrapText="1"/>
    </xf>
    <xf numFmtId="49" fontId="24" fillId="0" borderId="98" xfId="0" applyNumberFormat="1" applyFont="1" applyBorder="1" applyAlignment="1">
      <alignment horizontal="center" vertical="center" wrapText="1"/>
    </xf>
    <xf numFmtId="49" fontId="24" fillId="0" borderId="85" xfId="0" applyNumberFormat="1" applyFont="1" applyBorder="1" applyAlignment="1">
      <alignment horizontal="center" vertical="center" wrapText="1"/>
    </xf>
    <xf numFmtId="3" fontId="24" fillId="0" borderId="78" xfId="0" applyNumberFormat="1" applyFont="1" applyBorder="1" applyAlignment="1">
      <alignment vertical="center" wrapText="1"/>
    </xf>
    <xf numFmtId="49" fontId="24" fillId="0" borderId="99" xfId="0" applyNumberFormat="1" applyFont="1" applyBorder="1" applyAlignment="1">
      <alignment horizontal="center" vertical="center" wrapText="1"/>
    </xf>
    <xf numFmtId="3" fontId="24" fillId="0" borderId="100" xfId="0" applyNumberFormat="1" applyFont="1" applyBorder="1" applyAlignment="1">
      <alignment vertical="center" wrapText="1"/>
    </xf>
    <xf numFmtId="3" fontId="24" fillId="0" borderId="101" xfId="0" applyNumberFormat="1" applyFont="1" applyBorder="1" applyAlignment="1">
      <alignment vertical="center" wrapText="1"/>
    </xf>
    <xf numFmtId="49" fontId="24" fillId="0" borderId="102" xfId="0" applyNumberFormat="1" applyFont="1" applyBorder="1" applyAlignment="1">
      <alignment horizontal="center" vertical="center" wrapText="1"/>
    </xf>
    <xf numFmtId="49" fontId="24" fillId="0" borderId="103" xfId="0" applyNumberFormat="1" applyFont="1" applyBorder="1" applyAlignment="1">
      <alignment horizontal="center" vertical="center" wrapText="1"/>
    </xf>
    <xf numFmtId="0" fontId="24" fillId="0" borderId="103" xfId="0" applyFont="1" applyBorder="1" applyAlignment="1">
      <alignment horizontal="left" vertical="center" wrapText="1"/>
    </xf>
    <xf numFmtId="3" fontId="24" fillId="0" borderId="104" xfId="0" applyNumberFormat="1" applyFont="1" applyBorder="1" applyAlignment="1">
      <alignment vertical="center" wrapText="1"/>
    </xf>
    <xf numFmtId="3" fontId="24" fillId="0" borderId="103" xfId="0" applyNumberFormat="1" applyFont="1" applyBorder="1" applyAlignment="1">
      <alignment vertical="center" wrapText="1"/>
    </xf>
    <xf numFmtId="3" fontId="24" fillId="0" borderId="105" xfId="0" applyNumberFormat="1" applyFont="1" applyBorder="1" applyAlignment="1">
      <alignment vertical="center" wrapText="1"/>
    </xf>
    <xf numFmtId="0" fontId="13" fillId="0" borderId="99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 wrapText="1"/>
    </xf>
    <xf numFmtId="49" fontId="24" fillId="0" borderId="106" xfId="0" applyNumberFormat="1" applyFont="1" applyBorder="1" applyAlignment="1">
      <alignment horizontal="center" vertical="center" wrapText="1"/>
    </xf>
    <xf numFmtId="3" fontId="24" fillId="0" borderId="54" xfId="0" applyNumberFormat="1" applyFont="1" applyBorder="1" applyAlignment="1">
      <alignment vertical="center" wrapText="1"/>
    </xf>
    <xf numFmtId="3" fontId="24" fillId="0" borderId="107" xfId="0" applyNumberFormat="1" applyFont="1" applyBorder="1" applyAlignment="1">
      <alignment vertical="center" wrapText="1"/>
    </xf>
    <xf numFmtId="3" fontId="24" fillId="0" borderId="108" xfId="0" applyNumberFormat="1" applyFont="1" applyBorder="1" applyAlignment="1">
      <alignment vertical="center" wrapText="1"/>
    </xf>
    <xf numFmtId="3" fontId="29" fillId="0" borderId="107" xfId="0" applyNumberFormat="1" applyFont="1" applyBorder="1" applyAlignment="1">
      <alignment vertical="center" wrapText="1"/>
    </xf>
    <xf numFmtId="0" fontId="33" fillId="0" borderId="103" xfId="0" applyFont="1" applyBorder="1" applyAlignment="1">
      <alignment horizontal="left" vertical="center" wrapText="1"/>
    </xf>
    <xf numFmtId="3" fontId="33" fillId="0" borderId="104" xfId="0" applyNumberFormat="1" applyFont="1" applyBorder="1" applyAlignment="1">
      <alignment vertical="center" wrapText="1"/>
    </xf>
    <xf numFmtId="3" fontId="33" fillId="0" borderId="103" xfId="0" applyNumberFormat="1" applyFont="1" applyBorder="1" applyAlignment="1">
      <alignment vertical="center" wrapText="1"/>
    </xf>
    <xf numFmtId="3" fontId="29" fillId="0" borderId="103" xfId="0" applyNumberFormat="1" applyFont="1" applyBorder="1" applyAlignment="1">
      <alignment vertical="center" wrapText="1"/>
    </xf>
    <xf numFmtId="3" fontId="29" fillId="0" borderId="105" xfId="0" applyNumberFormat="1" applyFont="1" applyBorder="1" applyAlignment="1">
      <alignment vertical="center" wrapText="1"/>
    </xf>
    <xf numFmtId="3" fontId="29" fillId="0" borderId="109" xfId="0" applyNumberFormat="1" applyFont="1" applyBorder="1" applyAlignment="1">
      <alignment vertical="center" wrapText="1"/>
    </xf>
    <xf numFmtId="3" fontId="29" fillId="0" borderId="101" xfId="0" applyNumberFormat="1" applyFont="1" applyBorder="1" applyAlignment="1">
      <alignment vertical="center" wrapText="1"/>
    </xf>
    <xf numFmtId="3" fontId="29" fillId="0" borderId="108" xfId="0" applyNumberFormat="1" applyFont="1" applyBorder="1" applyAlignment="1">
      <alignment vertical="center" wrapText="1"/>
    </xf>
    <xf numFmtId="49" fontId="24" fillId="0" borderId="66" xfId="0" applyNumberFormat="1" applyFont="1" applyBorder="1" applyAlignment="1">
      <alignment horizontal="center" vertical="center" wrapText="1"/>
    </xf>
    <xf numFmtId="49" fontId="24" fillId="0" borderId="28" xfId="0" applyNumberFormat="1" applyFont="1" applyBorder="1" applyAlignment="1">
      <alignment horizontal="center" vertical="center" wrapText="1"/>
    </xf>
    <xf numFmtId="0" fontId="24" fillId="0" borderId="28" xfId="0" applyFont="1" applyBorder="1" applyAlignment="1">
      <alignment horizontal="left" vertical="center" wrapText="1"/>
    </xf>
    <xf numFmtId="3" fontId="24" fillId="0" borderId="28" xfId="0" applyNumberFormat="1" applyFont="1" applyBorder="1" applyAlignment="1">
      <alignment vertical="center" wrapText="1"/>
    </xf>
    <xf numFmtId="3" fontId="24" fillId="0" borderId="29" xfId="0" applyNumberFormat="1" applyFont="1" applyBorder="1" applyAlignment="1">
      <alignment vertical="center" wrapText="1"/>
    </xf>
    <xf numFmtId="3" fontId="29" fillId="0" borderId="95" xfId="0" applyNumberFormat="1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3" fontId="46" fillId="0" borderId="1" xfId="21" applyNumberFormat="1" applyFont="1" applyFill="1" applyBorder="1" applyAlignment="1">
      <alignment vertical="center" wrapText="1"/>
      <protection/>
    </xf>
    <xf numFmtId="3" fontId="9" fillId="0" borderId="110" xfId="21" applyNumberFormat="1" applyFont="1" applyFill="1" applyBorder="1" applyAlignment="1">
      <alignment vertical="center" wrapText="1"/>
      <protection/>
    </xf>
    <xf numFmtId="3" fontId="26" fillId="0" borderId="83" xfId="21" applyNumberFormat="1" applyFont="1" applyFill="1" applyBorder="1" applyAlignment="1">
      <alignment horizontal="center" vertical="center" wrapText="1"/>
      <protection/>
    </xf>
    <xf numFmtId="3" fontId="26" fillId="0" borderId="111" xfId="21" applyNumberFormat="1" applyFont="1" applyFill="1" applyBorder="1" applyAlignment="1">
      <alignment horizontal="center" vertical="center" wrapText="1"/>
      <protection/>
    </xf>
    <xf numFmtId="3" fontId="9" fillId="0" borderId="28" xfId="21" applyNumberFormat="1" applyFont="1" applyFill="1" applyBorder="1" applyAlignment="1">
      <alignment vertical="center" wrapText="1"/>
      <protection/>
    </xf>
    <xf numFmtId="0" fontId="8" fillId="0" borderId="81" xfId="21" applyFont="1" applyFill="1" applyBorder="1" applyAlignment="1">
      <alignment horizontal="center" vertical="center" wrapText="1"/>
      <protection/>
    </xf>
    <xf numFmtId="3" fontId="9" fillId="0" borderId="86" xfId="21" applyNumberFormat="1" applyFont="1" applyFill="1" applyBorder="1" applyAlignment="1">
      <alignment vertical="center" wrapText="1"/>
      <protection/>
    </xf>
    <xf numFmtId="0" fontId="12" fillId="2" borderId="74" xfId="22" applyFont="1" applyFill="1" applyBorder="1" applyAlignment="1">
      <alignment vertical="center"/>
      <protection/>
    </xf>
    <xf numFmtId="0" fontId="12" fillId="2" borderId="43" xfId="22" applyFont="1" applyFill="1" applyBorder="1" applyAlignment="1">
      <alignment vertical="center"/>
      <protection/>
    </xf>
    <xf numFmtId="3" fontId="9" fillId="0" borderId="39" xfId="22" applyNumberFormat="1" applyFont="1" applyBorder="1" applyAlignment="1">
      <alignment horizontal="right" vertical="center" wrapText="1"/>
      <protection/>
    </xf>
    <xf numFmtId="0" fontId="12" fillId="2" borderId="40" xfId="22" applyFont="1" applyFill="1" applyBorder="1" applyAlignment="1">
      <alignment vertical="center"/>
      <protection/>
    </xf>
    <xf numFmtId="0" fontId="12" fillId="0" borderId="9" xfId="22" applyFont="1" applyBorder="1" applyAlignment="1">
      <alignment horizontal="left" vertical="top" wrapText="1"/>
      <protection/>
    </xf>
    <xf numFmtId="49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wrapText="1"/>
    </xf>
    <xf numFmtId="3" fontId="0" fillId="0" borderId="5" xfId="0" applyNumberFormat="1" applyFont="1" applyBorder="1" applyAlignment="1">
      <alignment horizontal="right" vertical="center" wrapText="1"/>
    </xf>
    <xf numFmtId="0" fontId="0" fillId="0" borderId="46" xfId="0" applyFont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right" vertical="center" wrapText="1"/>
    </xf>
    <xf numFmtId="4" fontId="32" fillId="0" borderId="14" xfId="15" applyNumberFormat="1" applyFont="1" applyBorder="1" applyAlignment="1">
      <alignment horizontal="center"/>
    </xf>
    <xf numFmtId="4" fontId="29" fillId="0" borderId="71" xfId="15" applyNumberFormat="1" applyFont="1" applyBorder="1" applyAlignment="1">
      <alignment horizontal="center" vertical="center"/>
    </xf>
    <xf numFmtId="10" fontId="8" fillId="0" borderId="0" xfId="0" applyNumberFormat="1" applyFont="1" applyAlignment="1">
      <alignment vertical="center"/>
    </xf>
    <xf numFmtId="3" fontId="18" fillId="0" borderId="0" xfId="0" applyNumberFormat="1" applyFont="1" applyAlignment="1">
      <alignment/>
    </xf>
    <xf numFmtId="4" fontId="0" fillId="0" borderId="11" xfId="15" applyNumberFormat="1" applyFont="1" applyBorder="1" applyAlignment="1">
      <alignment horizontal="right" vertical="center"/>
    </xf>
    <xf numFmtId="0" fontId="0" fillId="0" borderId="11" xfId="19" applyFont="1" applyBorder="1" applyAlignment="1">
      <alignment horizontal="left" vertical="center" wrapText="1"/>
      <protection/>
    </xf>
    <xf numFmtId="49" fontId="9" fillId="0" borderId="1" xfId="19" applyNumberFormat="1" applyFont="1" applyBorder="1" applyAlignment="1">
      <alignment horizontal="center" vertical="center"/>
      <protection/>
    </xf>
    <xf numFmtId="0" fontId="27" fillId="0" borderId="1" xfId="19" applyFont="1" applyBorder="1" applyAlignment="1">
      <alignment horizontal="right" vertical="center" wrapText="1"/>
      <protection/>
    </xf>
    <xf numFmtId="4" fontId="12" fillId="0" borderId="1" xfId="19" applyNumberFormat="1" applyFont="1" applyBorder="1" applyAlignment="1">
      <alignment horizontal="right" vertical="center" wrapText="1"/>
      <protection/>
    </xf>
    <xf numFmtId="49" fontId="9" fillId="0" borderId="79" xfId="19" applyNumberFormat="1" applyBorder="1" applyAlignment="1">
      <alignment horizontal="center" vertical="center"/>
      <protection/>
    </xf>
    <xf numFmtId="49" fontId="9" fillId="0" borderId="36" xfId="19" applyNumberFormat="1" applyBorder="1" applyAlignment="1">
      <alignment horizontal="center" vertical="center"/>
      <protection/>
    </xf>
    <xf numFmtId="4" fontId="9" fillId="0" borderId="71" xfId="15" applyNumberFormat="1" applyBorder="1" applyAlignment="1">
      <alignment horizontal="center" vertical="center"/>
    </xf>
    <xf numFmtId="4" fontId="9" fillId="0" borderId="0" xfId="19" applyNumberFormat="1">
      <alignment/>
      <protection/>
    </xf>
    <xf numFmtId="44" fontId="0" fillId="0" borderId="2" xfId="22" applyNumberFormat="1" applyFont="1" applyBorder="1" applyAlignment="1">
      <alignment vertical="center" wrapText="1"/>
      <protection/>
    </xf>
    <xf numFmtId="3" fontId="9" fillId="0" borderId="56" xfId="21" applyNumberFormat="1" applyFont="1" applyFill="1" applyBorder="1" applyAlignment="1">
      <alignment vertical="center" wrapText="1"/>
      <protection/>
    </xf>
    <xf numFmtId="3" fontId="9" fillId="0" borderId="112" xfId="21" applyNumberFormat="1" applyFont="1" applyFill="1" applyBorder="1" applyAlignment="1">
      <alignment vertical="center" wrapText="1"/>
      <protection/>
    </xf>
    <xf numFmtId="0" fontId="24" fillId="0" borderId="1" xfId="0" applyFont="1" applyBorder="1" applyAlignment="1">
      <alignment horizontal="left" vertical="top" wrapText="1"/>
    </xf>
    <xf numFmtId="0" fontId="25" fillId="0" borderId="0" xfId="20" applyFont="1" applyFill="1" applyBorder="1" applyAlignment="1">
      <alignment vertical="center" wrapText="1"/>
      <protection/>
    </xf>
    <xf numFmtId="0" fontId="32" fillId="0" borderId="0" xfId="20" applyFont="1" applyFill="1" applyBorder="1" applyAlignment="1">
      <alignment textRotation="180"/>
      <protection/>
    </xf>
    <xf numFmtId="0" fontId="24" fillId="0" borderId="0" xfId="20" applyFont="1" applyFill="1" applyBorder="1" applyAlignment="1">
      <alignment vertical="center" wrapText="1"/>
      <protection/>
    </xf>
    <xf numFmtId="0" fontId="49" fillId="0" borderId="0" xfId="20" applyFont="1" applyFill="1" applyBorder="1" applyAlignment="1">
      <alignment horizontal="center" vertical="center" wrapText="1"/>
      <protection/>
    </xf>
    <xf numFmtId="3" fontId="10" fillId="0" borderId="0" xfId="20" applyNumberFormat="1" applyFont="1" applyFill="1" applyBorder="1" applyAlignment="1">
      <alignment horizontal="center" vertical="center" wrapText="1"/>
      <protection/>
    </xf>
    <xf numFmtId="1" fontId="10" fillId="0" borderId="0" xfId="20" applyNumberFormat="1" applyFont="1" applyFill="1" applyBorder="1" applyAlignment="1">
      <alignment horizontal="center" vertical="center" wrapText="1"/>
      <protection/>
    </xf>
    <xf numFmtId="3" fontId="10" fillId="0" borderId="0" xfId="20" applyNumberFormat="1" applyFont="1" applyFill="1" applyBorder="1" applyAlignment="1">
      <alignment vertical="center" wrapText="1"/>
      <protection/>
    </xf>
    <xf numFmtId="3" fontId="43" fillId="0" borderId="0" xfId="20" applyNumberFormat="1" applyFont="1" applyFill="1" applyBorder="1" applyAlignment="1">
      <alignment vertical="center" wrapText="1"/>
      <protection/>
    </xf>
    <xf numFmtId="0" fontId="25" fillId="0" borderId="88" xfId="20" applyFont="1" applyFill="1" applyBorder="1" applyAlignment="1">
      <alignment vertical="center" wrapText="1"/>
      <protection/>
    </xf>
    <xf numFmtId="0" fontId="25" fillId="0" borderId="85" xfId="20" applyFont="1" applyFill="1" applyBorder="1" applyAlignment="1">
      <alignment vertical="center" wrapText="1"/>
      <protection/>
    </xf>
    <xf numFmtId="3" fontId="24" fillId="0" borderId="37" xfId="20" applyNumberFormat="1" applyFont="1" applyFill="1" applyBorder="1" applyAlignment="1">
      <alignment vertical="center" wrapText="1"/>
      <protection/>
    </xf>
    <xf numFmtId="0" fontId="25" fillId="0" borderId="66" xfId="20" applyFont="1" applyFill="1" applyBorder="1" applyAlignment="1">
      <alignment vertical="center" wrapText="1"/>
      <protection/>
    </xf>
    <xf numFmtId="3" fontId="24" fillId="0" borderId="113" xfId="20" applyNumberFormat="1" applyFont="1" applyFill="1" applyBorder="1" applyAlignment="1">
      <alignment vertical="center" wrapText="1"/>
      <protection/>
    </xf>
    <xf numFmtId="0" fontId="14" fillId="0" borderId="85" xfId="18" applyFont="1" applyBorder="1" applyAlignment="1">
      <alignment horizontal="center" vertical="center" wrapText="1"/>
      <protection/>
    </xf>
    <xf numFmtId="0" fontId="14" fillId="0" borderId="11" xfId="18" applyFont="1" applyBorder="1" applyAlignment="1">
      <alignment horizontal="center" vertical="center" wrapText="1"/>
      <protection/>
    </xf>
    <xf numFmtId="3" fontId="14" fillId="0" borderId="11" xfId="18" applyNumberFormat="1" applyFont="1" applyBorder="1" applyAlignment="1">
      <alignment horizontal="center" vertical="center"/>
      <protection/>
    </xf>
    <xf numFmtId="3" fontId="14" fillId="0" borderId="95" xfId="18" applyNumberFormat="1" applyFont="1" applyBorder="1" applyAlignment="1">
      <alignment horizontal="center" vertical="center"/>
      <protection/>
    </xf>
    <xf numFmtId="0" fontId="35" fillId="0" borderId="27" xfId="18" applyFont="1" applyBorder="1" applyAlignment="1">
      <alignment horizontal="center" vertical="center" wrapText="1"/>
      <protection/>
    </xf>
    <xf numFmtId="0" fontId="12" fillId="0" borderId="13" xfId="18" applyFont="1" applyBorder="1" applyAlignment="1">
      <alignment horizontal="center" vertical="center" wrapText="1"/>
      <protection/>
    </xf>
    <xf numFmtId="0" fontId="26" fillId="0" borderId="13" xfId="18" applyFont="1" applyBorder="1" applyAlignment="1">
      <alignment horizontal="center" vertical="center" wrapText="1"/>
      <protection/>
    </xf>
    <xf numFmtId="0" fontId="26" fillId="0" borderId="83" xfId="18" applyFont="1" applyFill="1" applyBorder="1" applyAlignment="1">
      <alignment horizontal="center" vertical="center"/>
      <protection/>
    </xf>
    <xf numFmtId="49" fontId="35" fillId="0" borderId="83" xfId="18" applyNumberFormat="1" applyFont="1" applyFill="1" applyBorder="1" applyAlignment="1">
      <alignment vertical="center" wrapText="1"/>
      <protection/>
    </xf>
    <xf numFmtId="0" fontId="24" fillId="0" borderId="84" xfId="18" applyFont="1" applyFill="1" applyBorder="1" applyAlignment="1">
      <alignment vertical="center"/>
      <protection/>
    </xf>
    <xf numFmtId="3" fontId="25" fillId="0" borderId="34" xfId="18" applyNumberFormat="1" applyFont="1" applyFill="1" applyBorder="1" applyAlignment="1">
      <alignment horizontal="center" vertical="center"/>
      <protection/>
    </xf>
    <xf numFmtId="3" fontId="25" fillId="0" borderId="78" xfId="18" applyNumberFormat="1" applyFont="1" applyFill="1" applyBorder="1" applyAlignment="1">
      <alignment horizontal="center" vertical="center"/>
      <protection/>
    </xf>
    <xf numFmtId="0" fontId="12" fillId="0" borderId="1" xfId="18" applyFont="1" applyFill="1" applyBorder="1" applyAlignment="1">
      <alignment vertical="center" wrapText="1"/>
      <protection/>
    </xf>
    <xf numFmtId="0" fontId="26" fillId="0" borderId="11" xfId="18" applyFont="1" applyFill="1" applyBorder="1" applyAlignment="1">
      <alignment horizontal="center" vertical="center"/>
      <protection/>
    </xf>
    <xf numFmtId="0" fontId="35" fillId="0" borderId="11" xfId="18" applyFont="1" applyFill="1" applyBorder="1" applyAlignment="1">
      <alignment vertical="center"/>
      <protection/>
    </xf>
    <xf numFmtId="0" fontId="24" fillId="0" borderId="40" xfId="18" applyFont="1" applyFill="1" applyBorder="1" applyAlignment="1">
      <alignment vertical="center"/>
      <protection/>
    </xf>
    <xf numFmtId="3" fontId="23" fillId="0" borderId="1" xfId="18" applyNumberFormat="1" applyFont="1" applyFill="1" applyBorder="1" applyAlignment="1">
      <alignment horizontal="center" vertical="center"/>
      <protection/>
    </xf>
    <xf numFmtId="3" fontId="25" fillId="0" borderId="71" xfId="18" applyNumberFormat="1" applyFont="1" applyFill="1" applyBorder="1" applyAlignment="1">
      <alignment horizontal="center" vertical="center"/>
      <protection/>
    </xf>
    <xf numFmtId="0" fontId="26" fillId="0" borderId="11" xfId="18" applyFont="1" applyFill="1" applyBorder="1" applyAlignment="1">
      <alignment vertical="center"/>
      <protection/>
    </xf>
    <xf numFmtId="0" fontId="26" fillId="0" borderId="28" xfId="18" applyFont="1" applyFill="1" applyBorder="1" applyAlignment="1">
      <alignment horizontal="center" vertical="center"/>
      <protection/>
    </xf>
    <xf numFmtId="0" fontId="26" fillId="0" borderId="28" xfId="18" applyFont="1" applyFill="1" applyBorder="1" applyAlignment="1">
      <alignment vertical="center"/>
      <protection/>
    </xf>
    <xf numFmtId="0" fontId="24" fillId="0" borderId="64" xfId="18" applyFont="1" applyFill="1" applyBorder="1" applyAlignment="1">
      <alignment vertical="center"/>
      <protection/>
    </xf>
    <xf numFmtId="3" fontId="23" fillId="0" borderId="63" xfId="18" applyNumberFormat="1" applyFont="1" applyFill="1" applyBorder="1" applyAlignment="1">
      <alignment horizontal="center" vertical="center"/>
      <protection/>
    </xf>
    <xf numFmtId="3" fontId="25" fillId="0" borderId="81" xfId="18" applyNumberFormat="1" applyFont="1" applyFill="1" applyBorder="1" applyAlignment="1">
      <alignment horizontal="center" vertical="center"/>
      <protection/>
    </xf>
    <xf numFmtId="0" fontId="12" fillId="0" borderId="0" xfId="18" applyFont="1" applyFill="1" applyBorder="1" applyAlignment="1">
      <alignment horizontal="left" vertical="center" wrapText="1"/>
      <protection/>
    </xf>
    <xf numFmtId="0" fontId="12" fillId="0" borderId="0" xfId="18" applyFont="1" applyFill="1" applyBorder="1" applyAlignment="1">
      <alignment vertical="center" wrapText="1"/>
      <protection/>
    </xf>
    <xf numFmtId="0" fontId="12" fillId="0" borderId="8" xfId="18" applyFont="1" applyFill="1" applyBorder="1" applyAlignment="1">
      <alignment vertical="center" wrapText="1"/>
      <protection/>
    </xf>
    <xf numFmtId="0" fontId="24" fillId="0" borderId="44" xfId="18" applyFont="1" applyFill="1" applyBorder="1" applyAlignment="1">
      <alignment vertical="center"/>
      <protection/>
    </xf>
    <xf numFmtId="3" fontId="23" fillId="0" borderId="7" xfId="18" applyNumberFormat="1" applyFont="1" applyFill="1" applyBorder="1" applyAlignment="1">
      <alignment horizontal="center" vertical="center"/>
      <protection/>
    </xf>
    <xf numFmtId="3" fontId="23" fillId="0" borderId="11" xfId="18" applyNumberFormat="1" applyFont="1" applyFill="1" applyBorder="1" applyAlignment="1">
      <alignment horizontal="center" vertical="center"/>
      <protection/>
    </xf>
    <xf numFmtId="3" fontId="25" fillId="0" borderId="111" xfId="18" applyNumberFormat="1" applyFont="1" applyFill="1" applyBorder="1" applyAlignment="1">
      <alignment horizontal="center" vertical="center"/>
      <protection/>
    </xf>
    <xf numFmtId="0" fontId="24" fillId="0" borderId="34" xfId="18" applyFont="1" applyFill="1" applyBorder="1" applyAlignment="1">
      <alignment vertical="center"/>
      <protection/>
    </xf>
    <xf numFmtId="0" fontId="24" fillId="0" borderId="1" xfId="18" applyFont="1" applyFill="1" applyBorder="1" applyAlignment="1">
      <alignment vertical="center"/>
      <protection/>
    </xf>
    <xf numFmtId="0" fontId="24" fillId="0" borderId="63" xfId="18" applyFont="1" applyFill="1" applyBorder="1" applyAlignment="1">
      <alignment vertical="center"/>
      <protection/>
    </xf>
    <xf numFmtId="0" fontId="30" fillId="0" borderId="77" xfId="18" applyFont="1" applyBorder="1">
      <alignment/>
      <protection/>
    </xf>
    <xf numFmtId="0" fontId="30" fillId="0" borderId="0" xfId="18" applyFont="1" applyFill="1" applyBorder="1">
      <alignment/>
      <protection/>
    </xf>
    <xf numFmtId="0" fontId="30" fillId="0" borderId="8" xfId="18" applyFont="1" applyBorder="1">
      <alignment/>
      <protection/>
    </xf>
    <xf numFmtId="49" fontId="35" fillId="0" borderId="0" xfId="18" applyNumberFormat="1" applyFont="1" applyFill="1" applyBorder="1" applyAlignment="1">
      <alignment vertical="center"/>
      <protection/>
    </xf>
    <xf numFmtId="0" fontId="30" fillId="0" borderId="75" xfId="18" applyFont="1" applyBorder="1">
      <alignment/>
      <protection/>
    </xf>
    <xf numFmtId="49" fontId="35" fillId="0" borderId="73" xfId="18" applyNumberFormat="1" applyFont="1" applyFill="1" applyBorder="1" applyAlignment="1">
      <alignment vertical="center"/>
      <protection/>
    </xf>
    <xf numFmtId="49" fontId="9" fillId="0" borderId="11" xfId="18" applyNumberFormat="1" applyFont="1" applyFill="1" applyBorder="1" applyAlignment="1">
      <alignment horizontal="center" vertical="center"/>
      <protection/>
    </xf>
    <xf numFmtId="1" fontId="23" fillId="0" borderId="1" xfId="18" applyNumberFormat="1" applyFont="1" applyFill="1" applyBorder="1" applyAlignment="1">
      <alignment horizontal="center" vertical="center"/>
      <protection/>
    </xf>
    <xf numFmtId="0" fontId="35" fillId="0" borderId="0" xfId="18" applyFont="1" applyFill="1" applyBorder="1" applyAlignment="1">
      <alignment vertical="center"/>
      <protection/>
    </xf>
    <xf numFmtId="3" fontId="25" fillId="0" borderId="34" xfId="18" applyNumberFormat="1" applyFont="1" applyFill="1" applyBorder="1" applyAlignment="1">
      <alignment horizontal="center" vertical="center"/>
      <protection/>
    </xf>
    <xf numFmtId="0" fontId="9" fillId="0" borderId="83" xfId="18" applyFont="1" applyFill="1" applyBorder="1" applyAlignment="1">
      <alignment horizontal="center" vertical="center"/>
      <protection/>
    </xf>
    <xf numFmtId="49" fontId="35" fillId="0" borderId="83" xfId="18" applyNumberFormat="1" applyFont="1" applyFill="1" applyBorder="1" applyAlignment="1">
      <alignment vertical="center"/>
      <protection/>
    </xf>
    <xf numFmtId="1" fontId="25" fillId="0" borderId="34" xfId="18" applyNumberFormat="1" applyFont="1" applyFill="1" applyBorder="1" applyAlignment="1">
      <alignment horizontal="center" vertical="center"/>
      <protection/>
    </xf>
    <xf numFmtId="0" fontId="9" fillId="0" borderId="79" xfId="18" applyFont="1" applyFill="1" applyBorder="1" applyAlignment="1">
      <alignment horizontal="center" vertical="center"/>
      <protection/>
    </xf>
    <xf numFmtId="0" fontId="9" fillId="0" borderId="11" xfId="18" applyFont="1" applyFill="1" applyBorder="1" applyAlignment="1">
      <alignment horizontal="center" vertical="center"/>
      <protection/>
    </xf>
    <xf numFmtId="49" fontId="35" fillId="0" borderId="11" xfId="18" applyNumberFormat="1" applyFont="1" applyFill="1" applyBorder="1" applyAlignment="1">
      <alignment vertical="center"/>
      <protection/>
    </xf>
    <xf numFmtId="0" fontId="9" fillId="0" borderId="80" xfId="18" applyFont="1" applyFill="1" applyBorder="1" applyAlignment="1">
      <alignment horizontal="center" vertical="center"/>
      <protection/>
    </xf>
    <xf numFmtId="0" fontId="9" fillId="0" borderId="28" xfId="18" applyFont="1" applyFill="1" applyBorder="1" applyAlignment="1">
      <alignment horizontal="center" vertical="center"/>
      <protection/>
    </xf>
    <xf numFmtId="49" fontId="35" fillId="0" borderId="28" xfId="18" applyNumberFormat="1" applyFont="1" applyFill="1" applyBorder="1" applyAlignment="1">
      <alignment vertical="center"/>
      <protection/>
    </xf>
    <xf numFmtId="3" fontId="25" fillId="0" borderId="14" xfId="18" applyNumberFormat="1" applyFont="1" applyBorder="1" applyAlignment="1">
      <alignment horizontal="center" vertical="center"/>
      <protection/>
    </xf>
    <xf numFmtId="0" fontId="30" fillId="0" borderId="0" xfId="18" applyFont="1" applyBorder="1" applyAlignment="1">
      <alignment horizontal="center"/>
      <protection/>
    </xf>
    <xf numFmtId="0" fontId="26" fillId="0" borderId="1" xfId="20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4" fontId="4" fillId="0" borderId="1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40" fillId="3" borderId="9" xfId="0" applyFont="1" applyFill="1" applyBorder="1" applyAlignment="1">
      <alignment horizontal="center" vertical="center"/>
    </xf>
    <xf numFmtId="0" fontId="40" fillId="3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40" fillId="3" borderId="40" xfId="0" applyFont="1" applyFill="1" applyBorder="1" applyAlignment="1">
      <alignment horizontal="center" vertical="top" wrapText="1"/>
    </xf>
    <xf numFmtId="0" fontId="40" fillId="3" borderId="9" xfId="0" applyFont="1" applyFill="1" applyBorder="1" applyAlignment="1">
      <alignment horizontal="center" vertical="top" wrapText="1"/>
    </xf>
    <xf numFmtId="0" fontId="40" fillId="3" borderId="10" xfId="0" applyFont="1" applyFill="1" applyBorder="1" applyAlignment="1">
      <alignment horizontal="center" vertical="top" wrapText="1"/>
    </xf>
    <xf numFmtId="0" fontId="7" fillId="3" borderId="4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top" wrapText="1"/>
    </xf>
    <xf numFmtId="0" fontId="18" fillId="0" borderId="40" xfId="0" applyFont="1" applyBorder="1" applyAlignment="1">
      <alignment horizontal="center" vertical="top" wrapText="1"/>
    </xf>
    <xf numFmtId="0" fontId="18" fillId="0" borderId="40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40" fillId="3" borderId="4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top" wrapText="1"/>
    </xf>
    <xf numFmtId="0" fontId="19" fillId="0" borderId="40" xfId="0" applyFont="1" applyBorder="1" applyAlignment="1">
      <alignment horizontal="center" vertical="top" wrapText="1"/>
    </xf>
    <xf numFmtId="0" fontId="2" fillId="2" borderId="83" xfId="0" applyFont="1" applyFill="1" applyBorder="1" applyAlignment="1">
      <alignment horizontal="center" textRotation="90" wrapText="1"/>
    </xf>
    <xf numFmtId="0" fontId="2" fillId="2" borderId="28" xfId="0" applyFont="1" applyFill="1" applyBorder="1" applyAlignment="1">
      <alignment horizontal="center" textRotation="90" wrapText="1"/>
    </xf>
    <xf numFmtId="0" fontId="20" fillId="2" borderId="15" xfId="0" applyFont="1" applyFill="1" applyBorder="1" applyAlignment="1">
      <alignment horizontal="left" wrapText="1"/>
    </xf>
    <xf numFmtId="0" fontId="20" fillId="2" borderId="26" xfId="0" applyFont="1" applyFill="1" applyBorder="1" applyAlignment="1">
      <alignment horizontal="left" wrapText="1"/>
    </xf>
    <xf numFmtId="0" fontId="5" fillId="3" borderId="70" xfId="0" applyFont="1" applyFill="1" applyBorder="1" applyAlignment="1">
      <alignment horizontal="right" vertical="center"/>
    </xf>
    <xf numFmtId="0" fontId="5" fillId="3" borderId="16" xfId="0" applyFont="1" applyFill="1" applyBorder="1" applyAlignment="1">
      <alignment horizontal="right" vertical="center"/>
    </xf>
    <xf numFmtId="0" fontId="5" fillId="3" borderId="26" xfId="0" applyFont="1" applyFill="1" applyBorder="1" applyAlignment="1">
      <alignment horizontal="right" vertical="center"/>
    </xf>
    <xf numFmtId="0" fontId="3" fillId="0" borderId="73" xfId="0" applyFont="1" applyBorder="1" applyAlignment="1">
      <alignment horizontal="center" vertical="center"/>
    </xf>
    <xf numFmtId="0" fontId="4" fillId="2" borderId="88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4" fillId="2" borderId="8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5" fillId="2" borderId="114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0" fontId="12" fillId="2" borderId="71" xfId="0" applyFont="1" applyFill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2" borderId="35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99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2" borderId="78" xfId="0" applyFont="1" applyFill="1" applyBorder="1" applyAlignment="1">
      <alignment horizontal="center" vertical="center" wrapText="1"/>
    </xf>
    <xf numFmtId="0" fontId="9" fillId="0" borderId="38" xfId="21" applyFont="1" applyFill="1" applyBorder="1" applyAlignment="1">
      <alignment horizontal="center" vertical="center" wrapText="1"/>
      <protection/>
    </xf>
    <xf numFmtId="0" fontId="9" fillId="0" borderId="29" xfId="21" applyFont="1" applyFill="1" applyBorder="1" applyAlignment="1">
      <alignment horizontal="center" vertical="center" wrapText="1"/>
      <protection/>
    </xf>
    <xf numFmtId="0" fontId="9" fillId="0" borderId="52" xfId="21" applyFont="1" applyFill="1" applyBorder="1" applyAlignment="1">
      <alignment horizontal="center" vertical="center" wrapText="1"/>
      <protection/>
    </xf>
    <xf numFmtId="0" fontId="9" fillId="0" borderId="115" xfId="21" applyFont="1" applyFill="1" applyBorder="1" applyAlignment="1">
      <alignment horizontal="center" vertical="center" wrapText="1"/>
      <protection/>
    </xf>
    <xf numFmtId="0" fontId="4" fillId="5" borderId="7" xfId="21" applyFont="1" applyFill="1" applyBorder="1" applyAlignment="1">
      <alignment horizontal="center" vertical="center" wrapText="1"/>
      <protection/>
    </xf>
    <xf numFmtId="0" fontId="4" fillId="5" borderId="11" xfId="21" applyFont="1" applyFill="1" applyBorder="1" applyAlignment="1">
      <alignment horizontal="center" vertical="center" wrapText="1"/>
      <protection/>
    </xf>
    <xf numFmtId="0" fontId="4" fillId="5" borderId="12" xfId="21" applyFont="1" applyFill="1" applyBorder="1" applyAlignment="1">
      <alignment horizontal="center" vertical="center" wrapText="1"/>
      <protection/>
    </xf>
    <xf numFmtId="0" fontId="9" fillId="0" borderId="116" xfId="21" applyFont="1" applyFill="1" applyBorder="1" applyAlignment="1">
      <alignment horizontal="center" vertical="center" wrapText="1"/>
      <protection/>
    </xf>
    <xf numFmtId="0" fontId="9" fillId="0" borderId="54" xfId="21" applyFont="1" applyFill="1" applyBorder="1" applyAlignment="1">
      <alignment horizontal="center" vertical="center" wrapText="1"/>
      <protection/>
    </xf>
    <xf numFmtId="0" fontId="9" fillId="0" borderId="117" xfId="21" applyFont="1" applyFill="1" applyBorder="1" applyAlignment="1">
      <alignment horizontal="center" vertical="center" wrapText="1"/>
      <protection/>
    </xf>
    <xf numFmtId="3" fontId="9" fillId="0" borderId="11" xfId="21" applyNumberFormat="1" applyFont="1" applyFill="1" applyBorder="1" applyAlignment="1">
      <alignment horizontal="center" vertical="center" wrapText="1"/>
      <protection/>
    </xf>
    <xf numFmtId="3" fontId="9" fillId="0" borderId="28" xfId="21" applyNumberFormat="1" applyFont="1" applyFill="1" applyBorder="1" applyAlignment="1">
      <alignment horizontal="center" vertical="center" wrapText="1"/>
      <protection/>
    </xf>
    <xf numFmtId="0" fontId="32" fillId="5" borderId="83" xfId="21" applyFont="1" applyFill="1" applyBorder="1" applyAlignment="1">
      <alignment horizontal="center" vertical="center" wrapText="1"/>
      <protection/>
    </xf>
    <xf numFmtId="0" fontId="32" fillId="5" borderId="11" xfId="21" applyFont="1" applyFill="1" applyBorder="1" applyAlignment="1">
      <alignment horizontal="center" vertical="center" wrapText="1"/>
      <protection/>
    </xf>
    <xf numFmtId="0" fontId="32" fillId="5" borderId="118" xfId="21" applyFont="1" applyFill="1" applyBorder="1" applyAlignment="1">
      <alignment horizontal="center" vertical="center" wrapText="1"/>
      <protection/>
    </xf>
    <xf numFmtId="0" fontId="32" fillId="5" borderId="42" xfId="21" applyFont="1" applyFill="1" applyBorder="1" applyAlignment="1">
      <alignment horizontal="center" vertical="center" wrapText="1"/>
      <protection/>
    </xf>
    <xf numFmtId="0" fontId="32" fillId="5" borderId="84" xfId="21" applyFont="1" applyFill="1" applyBorder="1" applyAlignment="1">
      <alignment horizontal="center" vertical="center" wrapText="1"/>
      <protection/>
    </xf>
    <xf numFmtId="0" fontId="4" fillId="5" borderId="78" xfId="21" applyFont="1" applyFill="1" applyBorder="1" applyAlignment="1">
      <alignment horizontal="center" vertical="center" wrapText="1"/>
      <protection/>
    </xf>
    <xf numFmtId="0" fontId="4" fillId="5" borderId="71" xfId="21" applyFont="1" applyFill="1" applyBorder="1" applyAlignment="1">
      <alignment horizontal="center" vertical="center" wrapText="1"/>
      <protection/>
    </xf>
    <xf numFmtId="0" fontId="4" fillId="5" borderId="111" xfId="21" applyFont="1" applyFill="1" applyBorder="1" applyAlignment="1">
      <alignment horizontal="center" vertical="center" wrapText="1"/>
      <protection/>
    </xf>
    <xf numFmtId="0" fontId="32" fillId="5" borderId="1" xfId="21" applyFont="1" applyFill="1" applyBorder="1" applyAlignment="1">
      <alignment horizontal="center" vertical="center" wrapText="1"/>
      <protection/>
    </xf>
    <xf numFmtId="0" fontId="32" fillId="5" borderId="7" xfId="21" applyFont="1" applyFill="1" applyBorder="1" applyAlignment="1">
      <alignment horizontal="center" vertical="center" wrapText="1"/>
      <protection/>
    </xf>
    <xf numFmtId="3" fontId="9" fillId="0" borderId="12" xfId="21" applyNumberFormat="1" applyFont="1" applyFill="1" applyBorder="1" applyAlignment="1">
      <alignment horizontal="center" vertical="center" wrapText="1"/>
      <protection/>
    </xf>
    <xf numFmtId="0" fontId="9" fillId="0" borderId="53" xfId="21" applyFont="1" applyFill="1" applyBorder="1" applyAlignment="1">
      <alignment horizontal="center" vertical="center" wrapText="1"/>
      <protection/>
    </xf>
    <xf numFmtId="0" fontId="32" fillId="5" borderId="88" xfId="21" applyFont="1" applyFill="1" applyBorder="1" applyAlignment="1">
      <alignment horizontal="center" vertical="center" wrapText="1"/>
      <protection/>
    </xf>
    <xf numFmtId="0" fontId="32" fillId="5" borderId="85" xfId="21" applyFont="1" applyFill="1" applyBorder="1" applyAlignment="1">
      <alignment horizontal="center" vertical="center" wrapText="1"/>
      <protection/>
    </xf>
    <xf numFmtId="3" fontId="9" fillId="0" borderId="119" xfId="21" applyNumberFormat="1" applyFont="1" applyFill="1" applyBorder="1" applyAlignment="1">
      <alignment horizontal="center" vertical="center" wrapText="1"/>
      <protection/>
    </xf>
    <xf numFmtId="0" fontId="32" fillId="0" borderId="70" xfId="21" applyFont="1" applyFill="1" applyBorder="1" applyAlignment="1">
      <alignment horizontal="center" vertical="center" wrapText="1"/>
      <protection/>
    </xf>
    <xf numFmtId="0" fontId="32" fillId="0" borderId="16" xfId="21" applyFont="1" applyFill="1" applyBorder="1" applyAlignment="1">
      <alignment horizontal="center" vertical="center" wrapText="1"/>
      <protection/>
    </xf>
    <xf numFmtId="0" fontId="32" fillId="0" borderId="26" xfId="21" applyFont="1" applyFill="1" applyBorder="1" applyAlignment="1">
      <alignment horizontal="center" vertical="center" wrapText="1"/>
      <protection/>
    </xf>
    <xf numFmtId="3" fontId="9" fillId="0" borderId="7" xfId="21" applyNumberFormat="1" applyFont="1" applyFill="1" applyBorder="1" applyAlignment="1">
      <alignment horizontal="center" vertical="center" wrapText="1"/>
      <protection/>
    </xf>
    <xf numFmtId="0" fontId="33" fillId="0" borderId="120" xfId="21" applyFont="1" applyFill="1" applyBorder="1" applyAlignment="1">
      <alignment horizontal="left" vertical="center" wrapText="1"/>
      <protection/>
    </xf>
    <xf numFmtId="0" fontId="33" fillId="0" borderId="56" xfId="21" applyFont="1" applyFill="1" applyBorder="1" applyAlignment="1">
      <alignment horizontal="left" vertical="center" wrapText="1"/>
      <protection/>
    </xf>
    <xf numFmtId="3" fontId="4" fillId="5" borderId="83" xfId="21" applyNumberFormat="1" applyFont="1" applyFill="1" applyBorder="1" applyAlignment="1">
      <alignment horizontal="center" vertical="center" wrapText="1"/>
      <protection/>
    </xf>
    <xf numFmtId="3" fontId="4" fillId="5" borderId="11" xfId="21" applyNumberFormat="1" applyFont="1" applyFill="1" applyBorder="1" applyAlignment="1">
      <alignment horizontal="center" vertical="center" wrapText="1"/>
      <protection/>
    </xf>
    <xf numFmtId="0" fontId="33" fillId="0" borderId="121" xfId="21" applyFont="1" applyFill="1" applyBorder="1" applyAlignment="1">
      <alignment horizontal="left" vertical="center" wrapText="1"/>
      <protection/>
    </xf>
    <xf numFmtId="0" fontId="33" fillId="0" borderId="58" xfId="21" applyFont="1" applyFill="1" applyBorder="1" applyAlignment="1">
      <alignment horizontal="left" vertical="center" wrapText="1"/>
      <protection/>
    </xf>
    <xf numFmtId="0" fontId="33" fillId="0" borderId="122" xfId="21" applyFont="1" applyFill="1" applyBorder="1" applyAlignment="1">
      <alignment horizontal="left" vertical="center" wrapText="1"/>
      <protection/>
    </xf>
    <xf numFmtId="0" fontId="33" fillId="0" borderId="86" xfId="21" applyFont="1" applyFill="1" applyBorder="1" applyAlignment="1">
      <alignment horizontal="left" vertical="center" wrapText="1"/>
      <protection/>
    </xf>
    <xf numFmtId="0" fontId="33" fillId="0" borderId="123" xfId="21" applyFont="1" applyFill="1" applyBorder="1" applyAlignment="1">
      <alignment horizontal="left" vertical="center" wrapText="1"/>
      <protection/>
    </xf>
    <xf numFmtId="0" fontId="33" fillId="0" borderId="124" xfId="21" applyFont="1" applyFill="1" applyBorder="1" applyAlignment="1">
      <alignment horizontal="left" vertical="center" wrapText="1"/>
      <protection/>
    </xf>
    <xf numFmtId="0" fontId="33" fillId="0" borderId="125" xfId="21" applyFont="1" applyFill="1" applyBorder="1" applyAlignment="1">
      <alignment horizontal="left" vertical="center" wrapText="1"/>
      <protection/>
    </xf>
    <xf numFmtId="0" fontId="33" fillId="0" borderId="121" xfId="22" applyFont="1" applyFill="1" applyBorder="1" applyAlignment="1">
      <alignment horizontal="left" vertical="center" wrapText="1"/>
      <protection/>
    </xf>
    <xf numFmtId="0" fontId="33" fillId="0" borderId="58" xfId="22" applyFont="1" applyFill="1" applyBorder="1" applyAlignment="1">
      <alignment horizontal="left" vertical="center" wrapText="1"/>
      <protection/>
    </xf>
    <xf numFmtId="0" fontId="32" fillId="0" borderId="27" xfId="21" applyFont="1" applyFill="1" applyBorder="1" applyAlignment="1">
      <alignment horizontal="center" vertical="center" wrapText="1"/>
      <protection/>
    </xf>
    <xf numFmtId="0" fontId="32" fillId="0" borderId="13" xfId="21" applyFont="1" applyFill="1" applyBorder="1" applyAlignment="1">
      <alignment horizontal="center" vertical="center" wrapText="1"/>
      <protection/>
    </xf>
    <xf numFmtId="0" fontId="32" fillId="0" borderId="88" xfId="22" applyFont="1" applyFill="1" applyBorder="1" applyAlignment="1">
      <alignment horizontal="center" vertical="center" wrapText="1"/>
      <protection/>
    </xf>
    <xf numFmtId="0" fontId="32" fillId="0" borderId="83" xfId="22" applyFont="1" applyFill="1" applyBorder="1" applyAlignment="1">
      <alignment horizontal="center" vertical="center" wrapText="1"/>
      <protection/>
    </xf>
    <xf numFmtId="0" fontId="33" fillId="0" borderId="126" xfId="21" applyFont="1" applyFill="1" applyBorder="1" applyAlignment="1">
      <alignment horizontal="left" vertical="center" wrapText="1"/>
      <protection/>
    </xf>
    <xf numFmtId="0" fontId="33" fillId="0" borderId="89" xfId="21" applyFont="1" applyFill="1" applyBorder="1" applyAlignment="1">
      <alignment horizontal="left" vertical="center" wrapText="1"/>
      <protection/>
    </xf>
    <xf numFmtId="0" fontId="3" fillId="0" borderId="0" xfId="21" applyFont="1" applyAlignment="1">
      <alignment horizontal="center" vertical="center" wrapText="1"/>
      <protection/>
    </xf>
    <xf numFmtId="3" fontId="26" fillId="0" borderId="83" xfId="21" applyNumberFormat="1" applyFont="1" applyFill="1" applyBorder="1" applyAlignment="1">
      <alignment horizontal="left" vertical="center" wrapText="1"/>
      <protection/>
    </xf>
    <xf numFmtId="3" fontId="26" fillId="0" borderId="12" xfId="21" applyNumberFormat="1" applyFont="1" applyFill="1" applyBorder="1" applyAlignment="1">
      <alignment horizontal="left" vertical="center" wrapText="1"/>
      <protection/>
    </xf>
    <xf numFmtId="3" fontId="8" fillId="0" borderId="1" xfId="20" applyNumberFormat="1" applyFont="1" applyFill="1" applyBorder="1" applyAlignment="1">
      <alignment horizontal="center" vertical="center" wrapText="1"/>
      <protection/>
    </xf>
    <xf numFmtId="0" fontId="25" fillId="0" borderId="7" xfId="20" applyFont="1" applyFill="1" applyBorder="1" applyAlignment="1">
      <alignment horizontal="center" vertical="center" wrapText="1"/>
      <protection/>
    </xf>
    <xf numFmtId="0" fontId="25" fillId="0" borderId="11" xfId="20" applyFont="1" applyFill="1" applyBorder="1" applyAlignment="1">
      <alignment horizontal="center" vertical="center" wrapText="1"/>
      <protection/>
    </xf>
    <xf numFmtId="0" fontId="25" fillId="0" borderId="12" xfId="20" applyFont="1" applyFill="1" applyBorder="1" applyAlignment="1">
      <alignment horizontal="center" vertical="center" wrapText="1"/>
      <protection/>
    </xf>
    <xf numFmtId="0" fontId="9" fillId="0" borderId="9" xfId="20" applyFont="1" applyFill="1" applyBorder="1" applyAlignment="1">
      <alignment horizontal="center" vertical="center" wrapText="1"/>
      <protection/>
    </xf>
    <xf numFmtId="0" fontId="9" fillId="0" borderId="7" xfId="20" applyFont="1" applyFill="1" applyBorder="1" applyAlignment="1">
      <alignment horizontal="center" vertical="center" wrapText="1"/>
      <protection/>
    </xf>
    <xf numFmtId="0" fontId="9" fillId="0" borderId="11" xfId="20" applyFont="1" applyFill="1" applyBorder="1" applyAlignment="1">
      <alignment horizontal="center" vertical="center" wrapText="1"/>
      <protection/>
    </xf>
    <xf numFmtId="0" fontId="9" fillId="0" borderId="12" xfId="20" applyFont="1" applyFill="1" applyBorder="1" applyAlignment="1">
      <alignment horizontal="center" vertical="center" wrapText="1"/>
      <protection/>
    </xf>
    <xf numFmtId="0" fontId="23" fillId="0" borderId="7" xfId="20" applyFont="1" applyFill="1" applyBorder="1" applyAlignment="1">
      <alignment horizontal="center" vertical="center" wrapText="1"/>
      <protection/>
    </xf>
    <xf numFmtId="0" fontId="23" fillId="0" borderId="11" xfId="20" applyFont="1" applyFill="1" applyBorder="1" applyAlignment="1">
      <alignment horizontal="center" vertical="center" wrapText="1"/>
      <protection/>
    </xf>
    <xf numFmtId="0" fontId="23" fillId="0" borderId="12" xfId="20" applyFont="1" applyFill="1" applyBorder="1" applyAlignment="1">
      <alignment horizontal="center" vertical="center" wrapText="1"/>
      <protection/>
    </xf>
    <xf numFmtId="3" fontId="9" fillId="0" borderId="7" xfId="20" applyNumberFormat="1" applyFont="1" applyFill="1" applyBorder="1" applyAlignment="1">
      <alignment horizontal="center" vertical="center" wrapText="1"/>
      <protection/>
    </xf>
    <xf numFmtId="3" fontId="9" fillId="0" borderId="11" xfId="20" applyNumberFormat="1" applyFont="1" applyFill="1" applyBorder="1" applyAlignment="1">
      <alignment horizontal="center" vertical="center" wrapText="1"/>
      <protection/>
    </xf>
    <xf numFmtId="3" fontId="9" fillId="0" borderId="12" xfId="20" applyNumberFormat="1" applyFont="1" applyFill="1" applyBorder="1" applyAlignment="1">
      <alignment horizontal="center" vertical="center" wrapText="1"/>
      <protection/>
    </xf>
    <xf numFmtId="0" fontId="9" fillId="0" borderId="7" xfId="20" applyNumberFormat="1" applyFont="1" applyFill="1" applyBorder="1" applyAlignment="1">
      <alignment horizontal="center" vertical="center" wrapText="1"/>
      <protection/>
    </xf>
    <xf numFmtId="0" fontId="9" fillId="0" borderId="11" xfId="20" applyNumberFormat="1" applyFont="1" applyFill="1" applyBorder="1" applyAlignment="1">
      <alignment horizontal="center" vertical="center" wrapText="1"/>
      <protection/>
    </xf>
    <xf numFmtId="0" fontId="9" fillId="0" borderId="12" xfId="20" applyNumberFormat="1" applyFont="1" applyFill="1" applyBorder="1" applyAlignment="1">
      <alignment horizontal="center" vertical="center" wrapText="1"/>
      <protection/>
    </xf>
    <xf numFmtId="3" fontId="9" fillId="0" borderId="74" xfId="20" applyNumberFormat="1" applyFont="1" applyFill="1" applyBorder="1" applyAlignment="1">
      <alignment horizontal="center" vertical="center" wrapText="1"/>
      <protection/>
    </xf>
    <xf numFmtId="3" fontId="9" fillId="0" borderId="72" xfId="20" applyNumberFormat="1" applyFont="1" applyFill="1" applyBorder="1" applyAlignment="1">
      <alignment horizontal="center" vertical="center" wrapText="1"/>
      <protection/>
    </xf>
    <xf numFmtId="3" fontId="9" fillId="0" borderId="59" xfId="20" applyNumberFormat="1" applyFont="1" applyFill="1" applyBorder="1" applyAlignment="1">
      <alignment horizontal="center" vertical="center" wrapText="1"/>
      <protection/>
    </xf>
    <xf numFmtId="1" fontId="9" fillId="0" borderId="7" xfId="20" applyNumberFormat="1" applyFont="1" applyFill="1" applyBorder="1" applyAlignment="1">
      <alignment horizontal="center" vertical="center" wrapText="1"/>
      <protection/>
    </xf>
    <xf numFmtId="1" fontId="9" fillId="0" borderId="11" xfId="20" applyNumberFormat="1" applyFont="1" applyFill="1" applyBorder="1" applyAlignment="1">
      <alignment horizontal="center" vertical="center" wrapText="1"/>
      <protection/>
    </xf>
    <xf numFmtId="1" fontId="9" fillId="0" borderId="12" xfId="20" applyNumberFormat="1" applyFont="1" applyFill="1" applyBorder="1" applyAlignment="1">
      <alignment horizontal="center" vertical="center" wrapText="1"/>
      <protection/>
    </xf>
    <xf numFmtId="0" fontId="23" fillId="0" borderId="1" xfId="20" applyFont="1" applyFill="1" applyBorder="1" applyAlignment="1">
      <alignment horizontal="center" vertical="center" wrapText="1"/>
      <protection/>
    </xf>
    <xf numFmtId="3" fontId="9" fillId="0" borderId="1" xfId="20" applyNumberFormat="1" applyFont="1" applyFill="1" applyBorder="1" applyAlignment="1">
      <alignment horizontal="center" vertical="center" wrapText="1"/>
      <protection/>
    </xf>
    <xf numFmtId="0" fontId="9" fillId="0" borderId="9" xfId="20" applyNumberFormat="1" applyFont="1" applyFill="1" applyBorder="1" applyAlignment="1">
      <alignment horizontal="center" vertical="center" wrapText="1"/>
      <protection/>
    </xf>
    <xf numFmtId="0" fontId="25" fillId="0" borderId="76" xfId="20" applyFont="1" applyFill="1" applyBorder="1" applyAlignment="1">
      <alignment horizontal="center" vertical="center" wrapText="1"/>
      <protection/>
    </xf>
    <xf numFmtId="0" fontId="25" fillId="0" borderId="77" xfId="20" applyFont="1" applyFill="1" applyBorder="1" applyAlignment="1">
      <alignment horizontal="center" vertical="center" wrapText="1"/>
      <protection/>
    </xf>
    <xf numFmtId="0" fontId="25" fillId="0" borderId="127" xfId="20" applyFont="1" applyFill="1" applyBorder="1" applyAlignment="1">
      <alignment horizontal="center" vertical="center" wrapText="1"/>
      <protection/>
    </xf>
    <xf numFmtId="0" fontId="25" fillId="0" borderId="72" xfId="20" applyFont="1" applyFill="1" applyBorder="1" applyAlignment="1">
      <alignment horizontal="center" vertical="center" wrapText="1"/>
      <protection/>
    </xf>
    <xf numFmtId="0" fontId="25" fillId="0" borderId="0" xfId="20" applyFont="1" applyFill="1" applyBorder="1" applyAlignment="1">
      <alignment horizontal="center" vertical="center" wrapText="1"/>
      <protection/>
    </xf>
    <xf numFmtId="0" fontId="25" fillId="0" borderId="67" xfId="20" applyFont="1" applyFill="1" applyBorder="1" applyAlignment="1">
      <alignment horizontal="center" vertical="center" wrapText="1"/>
      <protection/>
    </xf>
    <xf numFmtId="0" fontId="25" fillId="0" borderId="73" xfId="20" applyFont="1" applyFill="1" applyBorder="1" applyAlignment="1">
      <alignment horizontal="center" vertical="center" wrapText="1"/>
      <protection/>
    </xf>
    <xf numFmtId="0" fontId="25" fillId="0" borderId="75" xfId="20" applyFont="1" applyFill="1" applyBorder="1" applyAlignment="1">
      <alignment horizontal="center" vertical="center" wrapText="1"/>
      <protection/>
    </xf>
    <xf numFmtId="1" fontId="9" fillId="0" borderId="72" xfId="20" applyNumberFormat="1" applyFont="1" applyFill="1" applyBorder="1" applyAlignment="1">
      <alignment horizontal="center" vertical="center" wrapText="1"/>
      <protection/>
    </xf>
    <xf numFmtId="1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wrapText="1"/>
      <protection/>
    </xf>
    <xf numFmtId="0" fontId="23" fillId="0" borderId="44" xfId="20" applyFont="1" applyFill="1" applyBorder="1" applyAlignment="1">
      <alignment horizontal="center" vertical="center" wrapText="1"/>
      <protection/>
    </xf>
    <xf numFmtId="0" fontId="23" fillId="0" borderId="8" xfId="20" applyFont="1" applyFill="1" applyBorder="1" applyAlignment="1">
      <alignment horizontal="center" vertical="center" wrapText="1"/>
      <protection/>
    </xf>
    <xf numFmtId="0" fontId="23" fillId="0" borderId="61" xfId="20" applyFont="1" applyFill="1" applyBorder="1" applyAlignment="1">
      <alignment horizontal="center" vertical="center" wrapText="1"/>
      <protection/>
    </xf>
    <xf numFmtId="1" fontId="9" fillId="0" borderId="74" xfId="20" applyNumberFormat="1" applyFont="1" applyFill="1" applyBorder="1" applyAlignment="1">
      <alignment horizontal="center" vertical="center" wrapText="1"/>
      <protection/>
    </xf>
    <xf numFmtId="0" fontId="4" fillId="5" borderId="111" xfId="20" applyFont="1" applyFill="1" applyBorder="1" applyAlignment="1">
      <alignment horizontal="center" vertical="center" wrapText="1"/>
      <protection/>
    </xf>
    <xf numFmtId="0" fontId="4" fillId="5" borderId="29" xfId="20" applyFont="1" applyFill="1" applyBorder="1" applyAlignment="1">
      <alignment horizontal="center" vertical="center" wrapText="1"/>
      <protection/>
    </xf>
    <xf numFmtId="0" fontId="4" fillId="5" borderId="117" xfId="20" applyFont="1" applyFill="1" applyBorder="1" applyAlignment="1">
      <alignment horizontal="center" vertical="center" wrapText="1"/>
      <protection/>
    </xf>
    <xf numFmtId="0" fontId="4" fillId="5" borderId="95" xfId="20" applyFont="1" applyFill="1" applyBorder="1" applyAlignment="1">
      <alignment horizontal="center" vertical="center" wrapText="1"/>
      <protection/>
    </xf>
    <xf numFmtId="3" fontId="8" fillId="0" borderId="12" xfId="20" applyNumberFormat="1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horizontal="center" vertical="center" wrapText="1"/>
      <protection/>
    </xf>
    <xf numFmtId="0" fontId="32" fillId="5" borderId="76" xfId="20" applyFont="1" applyFill="1" applyBorder="1" applyAlignment="1">
      <alignment horizontal="center" vertical="center" wrapText="1"/>
      <protection/>
    </xf>
    <xf numFmtId="0" fontId="32" fillId="5" borderId="77" xfId="20" applyFont="1" applyFill="1" applyBorder="1" applyAlignment="1">
      <alignment horizontal="center" vertical="center" wrapText="1"/>
      <protection/>
    </xf>
    <xf numFmtId="0" fontId="32" fillId="5" borderId="116" xfId="20" applyFont="1" applyFill="1" applyBorder="1" applyAlignment="1">
      <alignment horizontal="center" vertical="center" wrapText="1"/>
      <protection/>
    </xf>
    <xf numFmtId="0" fontId="32" fillId="5" borderId="59" xfId="20" applyFont="1" applyFill="1" applyBorder="1" applyAlignment="1">
      <alignment horizontal="center" vertical="center" wrapText="1"/>
      <protection/>
    </xf>
    <xf numFmtId="0" fontId="32" fillId="5" borderId="31" xfId="20" applyFont="1" applyFill="1" applyBorder="1" applyAlignment="1">
      <alignment horizontal="center" vertical="center" wrapText="1"/>
      <protection/>
    </xf>
    <xf numFmtId="0" fontId="32" fillId="5" borderId="53" xfId="20" applyFont="1" applyFill="1" applyBorder="1" applyAlignment="1">
      <alignment horizontal="center" vertical="center" wrapText="1"/>
      <protection/>
    </xf>
    <xf numFmtId="0" fontId="4" fillId="5" borderId="7" xfId="20" applyFont="1" applyFill="1" applyBorder="1" applyAlignment="1">
      <alignment horizontal="center" vertical="center" wrapText="1"/>
      <protection/>
    </xf>
    <xf numFmtId="0" fontId="4" fillId="5" borderId="28" xfId="20" applyFont="1" applyFill="1" applyBorder="1" applyAlignment="1">
      <alignment horizontal="center" vertical="center" wrapText="1"/>
      <protection/>
    </xf>
    <xf numFmtId="3" fontId="4" fillId="5" borderId="76" xfId="20" applyNumberFormat="1" applyFont="1" applyFill="1" applyBorder="1" applyAlignment="1">
      <alignment horizontal="center" vertical="center" wrapText="1"/>
      <protection/>
    </xf>
    <xf numFmtId="3" fontId="4" fillId="5" borderId="127" xfId="20" applyNumberFormat="1" applyFont="1" applyFill="1" applyBorder="1" applyAlignment="1">
      <alignment horizontal="center" vertical="center" wrapText="1"/>
      <protection/>
    </xf>
    <xf numFmtId="3" fontId="4" fillId="5" borderId="72" xfId="20" applyNumberFormat="1" applyFont="1" applyFill="1" applyBorder="1" applyAlignment="1">
      <alignment horizontal="center" vertical="center" wrapText="1"/>
      <protection/>
    </xf>
    <xf numFmtId="3" fontId="4" fillId="5" borderId="8" xfId="20" applyNumberFormat="1" applyFont="1" applyFill="1" applyBorder="1" applyAlignment="1">
      <alignment horizontal="center" vertical="center" wrapText="1"/>
      <protection/>
    </xf>
    <xf numFmtId="3" fontId="4" fillId="5" borderId="67" xfId="20" applyNumberFormat="1" applyFont="1" applyFill="1" applyBorder="1" applyAlignment="1">
      <alignment horizontal="center" vertical="center" wrapText="1"/>
      <protection/>
    </xf>
    <xf numFmtId="3" fontId="4" fillId="5" borderId="75" xfId="20" applyNumberFormat="1" applyFont="1" applyFill="1" applyBorder="1" applyAlignment="1">
      <alignment horizontal="center" vertical="center" wrapText="1"/>
      <protection/>
    </xf>
    <xf numFmtId="0" fontId="32" fillId="5" borderId="88" xfId="20" applyFont="1" applyFill="1" applyBorder="1" applyAlignment="1">
      <alignment horizontal="center" vertical="center" wrapText="1"/>
      <protection/>
    </xf>
    <xf numFmtId="0" fontId="32" fillId="5" borderId="85" xfId="20" applyFont="1" applyFill="1" applyBorder="1" applyAlignment="1">
      <alignment horizontal="center" vertical="center" wrapText="1"/>
      <protection/>
    </xf>
    <xf numFmtId="0" fontId="32" fillId="5" borderId="66" xfId="20" applyFont="1" applyFill="1" applyBorder="1" applyAlignment="1">
      <alignment horizontal="center" vertical="center" wrapText="1"/>
      <protection/>
    </xf>
    <xf numFmtId="0" fontId="32" fillId="5" borderId="83" xfId="20" applyFont="1" applyFill="1" applyBorder="1" applyAlignment="1">
      <alignment horizontal="center" vertical="center" wrapText="1"/>
      <protection/>
    </xf>
    <xf numFmtId="0" fontId="32" fillId="5" borderId="11" xfId="20" applyFont="1" applyFill="1" applyBorder="1" applyAlignment="1">
      <alignment horizontal="center" vertical="center" wrapText="1"/>
      <protection/>
    </xf>
    <xf numFmtId="0" fontId="32" fillId="5" borderId="28" xfId="20" applyFont="1" applyFill="1" applyBorder="1" applyAlignment="1">
      <alignment horizontal="center" vertical="center" wrapText="1"/>
      <protection/>
    </xf>
    <xf numFmtId="0" fontId="37" fillId="2" borderId="7" xfId="18" applyFont="1" applyFill="1" applyBorder="1" applyAlignment="1">
      <alignment horizontal="center" vertical="center" wrapText="1"/>
      <protection/>
    </xf>
    <xf numFmtId="0" fontId="37" fillId="2" borderId="28" xfId="18" applyFont="1" applyFill="1" applyBorder="1" applyAlignment="1">
      <alignment horizontal="center" vertical="center" wrapText="1"/>
      <protection/>
    </xf>
    <xf numFmtId="0" fontId="37" fillId="2" borderId="76" xfId="18" applyFont="1" applyFill="1" applyBorder="1" applyAlignment="1">
      <alignment horizontal="center" vertical="center" wrapText="1"/>
      <protection/>
    </xf>
    <xf numFmtId="0" fontId="37" fillId="2" borderId="77" xfId="18" applyFont="1" applyFill="1" applyBorder="1" applyAlignment="1">
      <alignment horizontal="center" vertical="center" wrapText="1"/>
      <protection/>
    </xf>
    <xf numFmtId="0" fontId="37" fillId="2" borderId="116" xfId="18" applyFont="1" applyFill="1" applyBorder="1" applyAlignment="1">
      <alignment horizontal="center" vertical="center" wrapText="1"/>
      <protection/>
    </xf>
    <xf numFmtId="0" fontId="37" fillId="2" borderId="59" xfId="18" applyFont="1" applyFill="1" applyBorder="1" applyAlignment="1">
      <alignment horizontal="center" vertical="center" wrapText="1"/>
      <protection/>
    </xf>
    <xf numFmtId="0" fontId="37" fillId="2" borderId="31" xfId="18" applyFont="1" applyFill="1" applyBorder="1" applyAlignment="1">
      <alignment horizontal="center" vertical="center" wrapText="1"/>
      <protection/>
    </xf>
    <xf numFmtId="0" fontId="37" fillId="2" borderId="53" xfId="18" applyFont="1" applyFill="1" applyBorder="1" applyAlignment="1">
      <alignment horizontal="center" vertical="center" wrapText="1"/>
      <protection/>
    </xf>
    <xf numFmtId="0" fontId="25" fillId="0" borderId="0" xfId="18" applyFont="1" applyBorder="1" applyAlignment="1">
      <alignment horizontal="center" vertical="top" wrapText="1"/>
      <protection/>
    </xf>
    <xf numFmtId="0" fontId="22" fillId="2" borderId="99" xfId="18" applyFont="1" applyFill="1" applyBorder="1" applyAlignment="1">
      <alignment horizontal="center" vertical="center" wrapText="1"/>
      <protection/>
    </xf>
    <xf numFmtId="0" fontId="22" fillId="2" borderId="36" xfId="18" applyFont="1" applyFill="1" applyBorder="1" applyAlignment="1">
      <alignment horizontal="center" vertical="center" wrapText="1"/>
      <protection/>
    </xf>
    <xf numFmtId="0" fontId="22" fillId="2" borderId="62" xfId="18" applyFont="1" applyFill="1" applyBorder="1" applyAlignment="1">
      <alignment horizontal="center" vertical="center" wrapText="1"/>
      <protection/>
    </xf>
    <xf numFmtId="0" fontId="37" fillId="2" borderId="34" xfId="18" applyFont="1" applyFill="1" applyBorder="1" applyAlignment="1">
      <alignment horizontal="center" vertical="center" wrapText="1"/>
      <protection/>
    </xf>
    <xf numFmtId="0" fontId="37" fillId="2" borderId="1" xfId="18" applyFont="1" applyFill="1" applyBorder="1" applyAlignment="1">
      <alignment horizontal="center" vertical="center" wrapText="1"/>
      <protection/>
    </xf>
    <xf numFmtId="0" fontId="37" fillId="2" borderId="63" xfId="18" applyFont="1" applyFill="1" applyBorder="1" applyAlignment="1">
      <alignment horizontal="center" vertical="center" wrapText="1"/>
      <protection/>
    </xf>
    <xf numFmtId="0" fontId="37" fillId="2" borderId="118" xfId="18" applyFont="1" applyFill="1" applyBorder="1" applyAlignment="1">
      <alignment horizontal="center" vertical="center" wrapText="1"/>
      <protection/>
    </xf>
    <xf numFmtId="0" fontId="37" fillId="2" borderId="42" xfId="18" applyFont="1" applyFill="1" applyBorder="1" applyAlignment="1">
      <alignment horizontal="center" vertical="center" wrapText="1"/>
      <protection/>
    </xf>
    <xf numFmtId="0" fontId="0" fillId="0" borderId="84" xfId="20" applyBorder="1" applyAlignment="1">
      <alignment horizontal="center" vertical="center" wrapText="1"/>
      <protection/>
    </xf>
    <xf numFmtId="0" fontId="12" fillId="0" borderId="7" xfId="18" applyFont="1" applyFill="1" applyBorder="1" applyAlignment="1">
      <alignment horizontal="left" vertical="center" wrapText="1"/>
      <protection/>
    </xf>
    <xf numFmtId="0" fontId="12" fillId="0" borderId="28" xfId="18" applyFont="1" applyFill="1" applyBorder="1" applyAlignment="1">
      <alignment horizontal="left" vertical="center" wrapText="1"/>
      <protection/>
    </xf>
    <xf numFmtId="0" fontId="9" fillId="0" borderId="28" xfId="18" applyFont="1" applyFill="1" applyBorder="1" applyAlignment="1">
      <alignment horizontal="left" vertical="center" wrapText="1"/>
      <protection/>
    </xf>
    <xf numFmtId="0" fontId="12" fillId="0" borderId="7" xfId="18" applyFont="1" applyFill="1" applyBorder="1" applyAlignment="1">
      <alignment horizontal="left" vertical="center" wrapText="1"/>
      <protection/>
    </xf>
    <xf numFmtId="0" fontId="12" fillId="0" borderId="28" xfId="18" applyFont="1" applyFill="1" applyBorder="1" applyAlignment="1">
      <alignment horizontal="left" vertical="center" wrapText="1"/>
      <protection/>
    </xf>
    <xf numFmtId="0" fontId="30" fillId="0" borderId="0" xfId="18" applyFont="1" applyBorder="1" applyAlignment="1">
      <alignment horizontal="left" wrapText="1"/>
      <protection/>
    </xf>
    <xf numFmtId="0" fontId="12" fillId="0" borderId="1" xfId="18" applyFont="1" applyFill="1" applyBorder="1" applyAlignment="1">
      <alignment horizontal="left" vertical="center" wrapText="1"/>
      <protection/>
    </xf>
    <xf numFmtId="0" fontId="12" fillId="0" borderId="63" xfId="18" applyFont="1" applyFill="1" applyBorder="1" applyAlignment="1">
      <alignment horizontal="left" vertical="center" wrapText="1"/>
      <protection/>
    </xf>
    <xf numFmtId="0" fontId="0" fillId="0" borderId="30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0" fillId="0" borderId="128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129" xfId="0" applyFont="1" applyBorder="1" applyAlignment="1">
      <alignment horizontal="left" vertical="center"/>
    </xf>
    <xf numFmtId="0" fontId="0" fillId="0" borderId="130" xfId="0" applyFont="1" applyBorder="1" applyAlignment="1">
      <alignment horizontal="left" vertical="center"/>
    </xf>
    <xf numFmtId="0" fontId="0" fillId="0" borderId="131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4" fillId="2" borderId="74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22" applyFont="1" applyAlignment="1">
      <alignment horizontal="center" vertical="center"/>
      <protection/>
    </xf>
    <xf numFmtId="0" fontId="12" fillId="2" borderId="1" xfId="22" applyFont="1" applyFill="1" applyBorder="1" applyAlignment="1">
      <alignment horizontal="center" vertical="center" wrapText="1"/>
      <protection/>
    </xf>
    <xf numFmtId="0" fontId="12" fillId="2" borderId="7" xfId="22" applyFont="1" applyFill="1" applyBorder="1" applyAlignment="1">
      <alignment horizontal="center" vertical="center" wrapText="1"/>
      <protection/>
    </xf>
    <xf numFmtId="0" fontId="12" fillId="2" borderId="59" xfId="22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2" fillId="2" borderId="1" xfId="23" applyFont="1" applyFill="1" applyBorder="1" applyAlignment="1">
      <alignment horizontal="center"/>
      <protection/>
    </xf>
    <xf numFmtId="0" fontId="32" fillId="2" borderId="1" xfId="23" applyFont="1" applyFill="1" applyBorder="1" applyAlignment="1">
      <alignment horizontal="center" vertical="center"/>
      <protection/>
    </xf>
    <xf numFmtId="0" fontId="25" fillId="0" borderId="0" xfId="23" applyFont="1" applyAlignment="1">
      <alignment horizontal="center"/>
      <protection/>
    </xf>
    <xf numFmtId="0" fontId="25" fillId="0" borderId="0" xfId="23" applyFont="1" applyAlignment="1">
      <alignment horizontal="center" wrapText="1"/>
      <protection/>
    </xf>
    <xf numFmtId="0" fontId="9" fillId="0" borderId="0" xfId="23" applyAlignment="1">
      <alignment horizontal="left" vertical="center"/>
      <protection/>
    </xf>
    <xf numFmtId="0" fontId="32" fillId="0" borderId="27" xfId="23" applyFont="1" applyBorder="1" applyAlignment="1">
      <alignment horizontal="center" vertical="center"/>
      <protection/>
    </xf>
    <xf numFmtId="0" fontId="32" fillId="0" borderId="13" xfId="23" applyFont="1" applyBorder="1" applyAlignment="1">
      <alignment horizontal="center" vertical="center"/>
      <protection/>
    </xf>
    <xf numFmtId="0" fontId="42" fillId="6" borderId="132" xfId="19" applyFont="1" applyFill="1" applyBorder="1" applyAlignment="1">
      <alignment horizontal="center" vertical="center" wrapText="1"/>
      <protection/>
    </xf>
    <xf numFmtId="0" fontId="42" fillId="6" borderId="42" xfId="19" applyFont="1" applyFill="1" applyBorder="1" applyAlignment="1">
      <alignment horizontal="center" vertical="center" wrapText="1"/>
      <protection/>
    </xf>
    <xf numFmtId="0" fontId="42" fillId="6" borderId="84" xfId="19" applyFont="1" applyFill="1" applyBorder="1" applyAlignment="1">
      <alignment horizontal="center" vertical="center" wrapText="1"/>
      <protection/>
    </xf>
    <xf numFmtId="0" fontId="9" fillId="0" borderId="0" xfId="19" applyAlignment="1">
      <alignment horizontal="left" wrapText="1"/>
      <protection/>
    </xf>
    <xf numFmtId="0" fontId="32" fillId="0" borderId="27" xfId="19" applyFont="1" applyBorder="1" applyAlignment="1">
      <alignment horizontal="center" vertical="center"/>
      <protection/>
    </xf>
    <xf numFmtId="0" fontId="32" fillId="0" borderId="13" xfId="19" applyFont="1" applyBorder="1" applyAlignment="1">
      <alignment horizontal="center" vertical="center"/>
      <protection/>
    </xf>
    <xf numFmtId="0" fontId="5" fillId="0" borderId="0" xfId="19" applyFont="1" applyAlignment="1">
      <alignment horizontal="center"/>
      <protection/>
    </xf>
    <xf numFmtId="0" fontId="25" fillId="0" borderId="0" xfId="19" applyFont="1" applyAlignment="1">
      <alignment horizontal="center"/>
      <protection/>
    </xf>
    <xf numFmtId="0" fontId="42" fillId="6" borderId="39" xfId="19" applyFont="1" applyFill="1" applyBorder="1" applyAlignment="1">
      <alignment horizontal="center" vertical="center" wrapText="1"/>
      <protection/>
    </xf>
    <xf numFmtId="0" fontId="42" fillId="6" borderId="10" xfId="19" applyFont="1" applyFill="1" applyBorder="1" applyAlignment="1">
      <alignment horizontal="center" vertical="center" wrapText="1"/>
      <protection/>
    </xf>
    <xf numFmtId="0" fontId="42" fillId="6" borderId="40" xfId="19" applyFont="1" applyFill="1" applyBorder="1" applyAlignment="1">
      <alignment horizontal="center" vertical="center" wrapText="1"/>
      <protection/>
    </xf>
    <xf numFmtId="0" fontId="4" fillId="0" borderId="70" xfId="22" applyFont="1" applyBorder="1" applyAlignment="1">
      <alignment horizontal="center" vertical="center"/>
      <protection/>
    </xf>
    <xf numFmtId="0" fontId="4" fillId="0" borderId="16" xfId="22" applyFont="1" applyBorder="1" applyAlignment="1">
      <alignment horizontal="center" vertical="center"/>
      <protection/>
    </xf>
    <xf numFmtId="0" fontId="4" fillId="0" borderId="26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4" fillId="2" borderId="1" xfId="22" applyFont="1" applyFill="1" applyBorder="1" applyAlignment="1">
      <alignment horizontal="center" vertical="center" wrapText="1"/>
      <protection/>
    </xf>
    <xf numFmtId="0" fontId="4" fillId="2" borderId="1" xfId="22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4" fillId="0" borderId="7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</cellXfs>
  <cellStyles count="14">
    <cellStyle name="Normal" xfId="0"/>
    <cellStyle name="Comma" xfId="15"/>
    <cellStyle name="Comma [0]" xfId="16"/>
    <cellStyle name="Hyperlink" xfId="17"/>
    <cellStyle name="Normalny_28647_20060508_140808" xfId="18"/>
    <cellStyle name="Normalny_Kopia zalaczniki" xfId="19"/>
    <cellStyle name="Normalny_ukł wykonawczy_Projekt załączników" xfId="20"/>
    <cellStyle name="Normalny_Zarz78_Zał1_Projekt załączników2008" xfId="21"/>
    <cellStyle name="Normalny_zarz87_zal1_zalaczniki" xfId="22"/>
    <cellStyle name="Normalny_Zeszyt2" xfId="23"/>
    <cellStyle name="Followed Hyperlink" xfId="24"/>
    <cellStyle name="Percent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Pulpit\autopopraw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  <sheetName val="wydatki-2009"/>
      <sheetName val="3"/>
      <sheetName val="7"/>
      <sheetName val="13"/>
      <sheetName val="dotacje"/>
      <sheetName val="wydatki"/>
      <sheetName val="dochody"/>
      <sheetName val="przychody"/>
    </sheetNames>
    <sheetDataSet>
      <sheetData sheetId="0">
        <row r="86">
          <cell r="E86">
            <v>5896188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N144"/>
  <sheetViews>
    <sheetView showGridLines="0" zoomScale="75" zoomScaleNormal="75" workbookViewId="0" topLeftCell="A103">
      <selection activeCell="E115" sqref="E115"/>
    </sheetView>
  </sheetViews>
  <sheetFormatPr defaultColWidth="9.00390625" defaultRowHeight="12.75"/>
  <cols>
    <col min="1" max="1" width="5.875" style="50" customWidth="1"/>
    <col min="2" max="2" width="8.125" style="50" customWidth="1"/>
    <col min="3" max="3" width="5.625" style="50" customWidth="1"/>
    <col min="4" max="4" width="69.875" style="0" customWidth="1"/>
    <col min="5" max="5" width="15.25390625" style="0" customWidth="1"/>
    <col min="6" max="7" width="12.00390625" style="0" customWidth="1"/>
    <col min="8" max="8" width="11.75390625" style="0" customWidth="1"/>
    <col min="9" max="9" width="13.625" style="0" customWidth="1"/>
    <col min="10" max="10" width="11.75390625" style="0" customWidth="1"/>
    <col min="11" max="11" width="11.625" style="0" customWidth="1"/>
    <col min="12" max="12" width="11.75390625" style="0" customWidth="1"/>
    <col min="13" max="13" width="12.375" style="0" customWidth="1"/>
    <col min="14" max="14" width="11.75390625" style="0" bestFit="1" customWidth="1"/>
  </cols>
  <sheetData>
    <row r="1" spans="2:13" ht="25.5" customHeight="1" thickBot="1">
      <c r="B1" s="905" t="s">
        <v>237</v>
      </c>
      <c r="C1" s="905"/>
      <c r="D1" s="905"/>
      <c r="E1" s="905"/>
      <c r="L1" s="68"/>
      <c r="M1" s="68" t="s">
        <v>334</v>
      </c>
    </row>
    <row r="2" spans="1:13" s="62" customFormat="1" ht="13.5" customHeight="1" thickBot="1">
      <c r="A2" s="906" t="s">
        <v>285</v>
      </c>
      <c r="B2" s="908" t="s">
        <v>286</v>
      </c>
      <c r="C2" s="908" t="s">
        <v>287</v>
      </c>
      <c r="D2" s="908" t="s">
        <v>363</v>
      </c>
      <c r="E2" s="910" t="s">
        <v>133</v>
      </c>
      <c r="F2" s="898" t="s">
        <v>689</v>
      </c>
      <c r="G2" s="900" t="s">
        <v>289</v>
      </c>
      <c r="H2" s="901"/>
      <c r="I2" s="898" t="s">
        <v>688</v>
      </c>
      <c r="J2" s="164" t="s">
        <v>289</v>
      </c>
      <c r="K2" s="165"/>
      <c r="L2" s="165"/>
      <c r="M2" s="166"/>
    </row>
    <row r="3" spans="1:13" s="62" customFormat="1" ht="78" thickBot="1">
      <c r="A3" s="907"/>
      <c r="B3" s="909"/>
      <c r="C3" s="909"/>
      <c r="D3" s="909"/>
      <c r="E3" s="911"/>
      <c r="F3" s="899"/>
      <c r="G3" s="154" t="s">
        <v>98</v>
      </c>
      <c r="H3" s="154" t="s">
        <v>644</v>
      </c>
      <c r="I3" s="899"/>
      <c r="J3" s="154" t="s">
        <v>99</v>
      </c>
      <c r="K3" s="154" t="s">
        <v>554</v>
      </c>
      <c r="L3" s="717" t="s">
        <v>553</v>
      </c>
      <c r="M3" s="155" t="s">
        <v>58</v>
      </c>
    </row>
    <row r="4" spans="1:13" s="40" customFormat="1" ht="8.25">
      <c r="A4" s="134">
        <v>1</v>
      </c>
      <c r="B4" s="134">
        <v>2</v>
      </c>
      <c r="C4" s="134">
        <v>3</v>
      </c>
      <c r="D4" s="134">
        <v>4</v>
      </c>
      <c r="E4" s="168">
        <v>5</v>
      </c>
      <c r="F4" s="134">
        <v>6</v>
      </c>
      <c r="G4" s="134">
        <v>7</v>
      </c>
      <c r="H4" s="134">
        <v>8</v>
      </c>
      <c r="I4" s="134">
        <v>9</v>
      </c>
      <c r="J4" s="134">
        <v>10</v>
      </c>
      <c r="K4" s="134">
        <v>11</v>
      </c>
      <c r="L4" s="134">
        <v>12</v>
      </c>
      <c r="M4" s="134">
        <v>13</v>
      </c>
    </row>
    <row r="5" spans="1:13" s="49" customFormat="1" ht="21.75" customHeight="1">
      <c r="A5" s="211" t="s">
        <v>473</v>
      </c>
      <c r="B5" s="876" t="s">
        <v>475</v>
      </c>
      <c r="C5" s="877"/>
      <c r="D5" s="895"/>
      <c r="E5" s="174">
        <f>E6+E9</f>
        <v>500100</v>
      </c>
      <c r="F5" s="170">
        <f>F6+F9</f>
        <v>500100</v>
      </c>
      <c r="G5" s="170">
        <f aca="true" t="shared" si="0" ref="G5:M5">G6+G9</f>
        <v>492100</v>
      </c>
      <c r="H5" s="170">
        <f t="shared" si="0"/>
        <v>8000</v>
      </c>
      <c r="I5" s="170">
        <f t="shared" si="0"/>
        <v>0</v>
      </c>
      <c r="J5" s="170">
        <f t="shared" si="0"/>
        <v>0</v>
      </c>
      <c r="K5" s="170">
        <f t="shared" si="0"/>
        <v>0</v>
      </c>
      <c r="L5" s="170">
        <f t="shared" si="0"/>
        <v>0</v>
      </c>
      <c r="M5" s="170">
        <f t="shared" si="0"/>
        <v>0</v>
      </c>
    </row>
    <row r="6" spans="1:13" s="48" customFormat="1" ht="21.75" customHeight="1">
      <c r="A6" s="129"/>
      <c r="B6" s="209" t="s">
        <v>526</v>
      </c>
      <c r="C6" s="896" t="s">
        <v>527</v>
      </c>
      <c r="D6" s="897"/>
      <c r="E6" s="180">
        <f>SUM(E7:E8)</f>
        <v>492100</v>
      </c>
      <c r="F6" s="183">
        <f>SUM(F7:F8)</f>
        <v>492100</v>
      </c>
      <c r="G6" s="183">
        <f>SUM(G7:G8)</f>
        <v>492100</v>
      </c>
      <c r="H6" s="183">
        <f aca="true" t="shared" si="1" ref="H6:M6">SUM(H7:H8)</f>
        <v>0</v>
      </c>
      <c r="I6" s="183">
        <f t="shared" si="1"/>
        <v>0</v>
      </c>
      <c r="J6" s="183">
        <f t="shared" si="1"/>
        <v>0</v>
      </c>
      <c r="K6" s="183">
        <f t="shared" si="1"/>
        <v>0</v>
      </c>
      <c r="L6" s="183">
        <f t="shared" si="1"/>
        <v>0</v>
      </c>
      <c r="M6" s="183">
        <f t="shared" si="1"/>
        <v>0</v>
      </c>
    </row>
    <row r="7" spans="1:13" ht="27" customHeight="1">
      <c r="A7" s="52"/>
      <c r="B7" s="184"/>
      <c r="C7" s="185" t="s">
        <v>530</v>
      </c>
      <c r="D7" s="188" t="s">
        <v>528</v>
      </c>
      <c r="E7" s="178">
        <f>F7+I7</f>
        <v>29000</v>
      </c>
      <c r="F7" s="138">
        <f>G7</f>
        <v>29000</v>
      </c>
      <c r="G7" s="138">
        <v>29000</v>
      </c>
      <c r="H7" s="138"/>
      <c r="I7" s="138"/>
      <c r="J7" s="138"/>
      <c r="K7" s="138"/>
      <c r="L7" s="138"/>
      <c r="M7" s="138"/>
    </row>
    <row r="8" spans="1:13" ht="25.5">
      <c r="A8" s="54"/>
      <c r="B8" s="58"/>
      <c r="C8" s="58">
        <v>6298</v>
      </c>
      <c r="D8" s="163" t="s">
        <v>529</v>
      </c>
      <c r="E8" s="179">
        <f>F8+I8</f>
        <v>463100</v>
      </c>
      <c r="F8" s="65">
        <f>G8+H8</f>
        <v>463100</v>
      </c>
      <c r="G8" s="65">
        <v>463100</v>
      </c>
      <c r="H8" s="65"/>
      <c r="I8" s="65">
        <f>SUM(J8:M8)</f>
        <v>0</v>
      </c>
      <c r="J8" s="65"/>
      <c r="K8" s="65"/>
      <c r="L8" s="65"/>
      <c r="M8" s="65"/>
    </row>
    <row r="9" spans="1:13" s="48" customFormat="1" ht="18.75" customHeight="1">
      <c r="A9" s="51"/>
      <c r="B9" s="209" t="s">
        <v>474</v>
      </c>
      <c r="C9" s="874" t="s">
        <v>476</v>
      </c>
      <c r="D9" s="875"/>
      <c r="E9" s="180">
        <f aca="true" t="shared" si="2" ref="E9:M9">SUM(E10:E10)</f>
        <v>8000</v>
      </c>
      <c r="F9" s="183">
        <f t="shared" si="2"/>
        <v>8000</v>
      </c>
      <c r="G9" s="183">
        <f t="shared" si="2"/>
        <v>0</v>
      </c>
      <c r="H9" s="183">
        <f t="shared" si="2"/>
        <v>8000</v>
      </c>
      <c r="I9" s="183">
        <f t="shared" si="2"/>
        <v>0</v>
      </c>
      <c r="J9" s="183">
        <f t="shared" si="2"/>
        <v>0</v>
      </c>
      <c r="K9" s="183">
        <f t="shared" si="2"/>
        <v>0</v>
      </c>
      <c r="L9" s="183">
        <f t="shared" si="2"/>
        <v>0</v>
      </c>
      <c r="M9" s="183">
        <f t="shared" si="2"/>
        <v>0</v>
      </c>
    </row>
    <row r="10" spans="1:13" ht="25.5">
      <c r="A10" s="54"/>
      <c r="B10" s="181"/>
      <c r="C10" s="185" t="s">
        <v>123</v>
      </c>
      <c r="D10" s="162" t="s">
        <v>124</v>
      </c>
      <c r="E10" s="176">
        <f>F10+I10</f>
        <v>8000</v>
      </c>
      <c r="F10" s="138">
        <f>G10+H10</f>
        <v>8000</v>
      </c>
      <c r="G10" s="138"/>
      <c r="H10" s="138">
        <v>8000</v>
      </c>
      <c r="I10" s="138">
        <f>SUM(J10:M10)</f>
        <v>0</v>
      </c>
      <c r="J10" s="138"/>
      <c r="K10" s="138"/>
      <c r="L10" s="138"/>
      <c r="M10" s="138"/>
    </row>
    <row r="11" spans="1:13" s="49" customFormat="1" ht="21" customHeight="1">
      <c r="A11" s="211" t="s">
        <v>640</v>
      </c>
      <c r="B11" s="876" t="s">
        <v>643</v>
      </c>
      <c r="C11" s="877"/>
      <c r="D11" s="895"/>
      <c r="E11" s="174">
        <f aca="true" t="shared" si="3" ref="E11:M12">E12</f>
        <v>3500</v>
      </c>
      <c r="F11" s="170">
        <f t="shared" si="3"/>
        <v>0</v>
      </c>
      <c r="G11" s="170">
        <f t="shared" si="3"/>
        <v>0</v>
      </c>
      <c r="H11" s="170">
        <f t="shared" si="3"/>
        <v>0</v>
      </c>
      <c r="I11" s="170">
        <f t="shared" si="3"/>
        <v>3500</v>
      </c>
      <c r="J11" s="170">
        <f t="shared" si="3"/>
        <v>0</v>
      </c>
      <c r="K11" s="170">
        <f t="shared" si="3"/>
        <v>0</v>
      </c>
      <c r="L11" s="170">
        <f t="shared" si="3"/>
        <v>0</v>
      </c>
      <c r="M11" s="170">
        <f t="shared" si="3"/>
        <v>3500</v>
      </c>
    </row>
    <row r="12" spans="1:13" s="48" customFormat="1" ht="24" customHeight="1">
      <c r="A12" s="129"/>
      <c r="B12" s="209" t="s">
        <v>641</v>
      </c>
      <c r="C12" s="874" t="s">
        <v>642</v>
      </c>
      <c r="D12" s="875"/>
      <c r="E12" s="180">
        <f>E13</f>
        <v>3500</v>
      </c>
      <c r="F12" s="183">
        <f t="shared" si="3"/>
        <v>0</v>
      </c>
      <c r="G12" s="183">
        <f t="shared" si="3"/>
        <v>0</v>
      </c>
      <c r="H12" s="183">
        <f t="shared" si="3"/>
        <v>0</v>
      </c>
      <c r="I12" s="183">
        <f t="shared" si="3"/>
        <v>3500</v>
      </c>
      <c r="J12" s="183">
        <f t="shared" si="3"/>
        <v>0</v>
      </c>
      <c r="K12" s="183">
        <f t="shared" si="3"/>
        <v>0</v>
      </c>
      <c r="L12" s="183">
        <f t="shared" si="3"/>
        <v>0</v>
      </c>
      <c r="M12" s="183">
        <f t="shared" si="3"/>
        <v>3500</v>
      </c>
    </row>
    <row r="13" spans="1:13" ht="38.25">
      <c r="A13" s="54"/>
      <c r="B13" s="181"/>
      <c r="C13" s="185" t="s">
        <v>488</v>
      </c>
      <c r="D13" s="188" t="s">
        <v>489</v>
      </c>
      <c r="E13" s="176">
        <f>F13+I13</f>
        <v>3500</v>
      </c>
      <c r="F13" s="138">
        <f>G13+H13</f>
        <v>0</v>
      </c>
      <c r="G13" s="138"/>
      <c r="H13" s="138"/>
      <c r="I13" s="138">
        <f>SUM(J13:M13)</f>
        <v>3500</v>
      </c>
      <c r="J13" s="138"/>
      <c r="K13" s="138"/>
      <c r="L13" s="138"/>
      <c r="M13" s="138">
        <v>3500</v>
      </c>
    </row>
    <row r="14" spans="1:13" s="49" customFormat="1" ht="33.75" customHeight="1">
      <c r="A14" s="213">
        <v>400</v>
      </c>
      <c r="B14" s="881" t="s">
        <v>478</v>
      </c>
      <c r="C14" s="882"/>
      <c r="D14" s="880"/>
      <c r="E14" s="174">
        <f aca="true" t="shared" si="4" ref="E14:M15">E15</f>
        <v>600000</v>
      </c>
      <c r="F14" s="170">
        <f t="shared" si="4"/>
        <v>0</v>
      </c>
      <c r="G14" s="170">
        <f t="shared" si="4"/>
        <v>0</v>
      </c>
      <c r="H14" s="170">
        <f t="shared" si="4"/>
        <v>0</v>
      </c>
      <c r="I14" s="170">
        <f t="shared" si="4"/>
        <v>600000</v>
      </c>
      <c r="J14" s="170">
        <f t="shared" si="4"/>
        <v>0</v>
      </c>
      <c r="K14" s="170">
        <f t="shared" si="4"/>
        <v>0</v>
      </c>
      <c r="L14" s="170">
        <f t="shared" si="4"/>
        <v>0</v>
      </c>
      <c r="M14" s="170">
        <f t="shared" si="4"/>
        <v>600000</v>
      </c>
    </row>
    <row r="15" spans="1:13" s="48" customFormat="1" ht="24.75" customHeight="1">
      <c r="A15" s="77"/>
      <c r="B15" s="208">
        <v>40002</v>
      </c>
      <c r="C15" s="874" t="s">
        <v>479</v>
      </c>
      <c r="D15" s="875"/>
      <c r="E15" s="180">
        <f t="shared" si="4"/>
        <v>600000</v>
      </c>
      <c r="F15" s="183">
        <f t="shared" si="4"/>
        <v>0</v>
      </c>
      <c r="G15" s="183">
        <f t="shared" si="4"/>
        <v>0</v>
      </c>
      <c r="H15" s="183">
        <f t="shared" si="4"/>
        <v>0</v>
      </c>
      <c r="I15" s="183">
        <f t="shared" si="4"/>
        <v>600000</v>
      </c>
      <c r="J15" s="183">
        <f t="shared" si="4"/>
        <v>0</v>
      </c>
      <c r="K15" s="183">
        <f t="shared" si="4"/>
        <v>0</v>
      </c>
      <c r="L15" s="183">
        <f t="shared" si="4"/>
        <v>0</v>
      </c>
      <c r="M15" s="183">
        <f t="shared" si="4"/>
        <v>600000</v>
      </c>
    </row>
    <row r="16" spans="1:13" ht="21" customHeight="1">
      <c r="A16" s="156"/>
      <c r="B16" s="216"/>
      <c r="C16" s="159" t="s">
        <v>480</v>
      </c>
      <c r="D16" s="217" t="s">
        <v>481</v>
      </c>
      <c r="E16" s="190">
        <f>F16+I16</f>
        <v>600000</v>
      </c>
      <c r="F16" s="133">
        <f>G16+H16</f>
        <v>0</v>
      </c>
      <c r="G16" s="133"/>
      <c r="H16" s="133"/>
      <c r="I16" s="133">
        <f>SUM(J16:M16)</f>
        <v>600000</v>
      </c>
      <c r="J16" s="133"/>
      <c r="K16" s="133"/>
      <c r="L16" s="133"/>
      <c r="M16" s="133">
        <v>600000</v>
      </c>
    </row>
    <row r="17" spans="1:13" s="49" customFormat="1" ht="24" customHeight="1">
      <c r="A17" s="212">
        <v>600</v>
      </c>
      <c r="B17" s="876" t="s">
        <v>579</v>
      </c>
      <c r="C17" s="877"/>
      <c r="D17" s="895"/>
      <c r="E17" s="174">
        <f>E18+E20</f>
        <v>719154</v>
      </c>
      <c r="F17" s="170">
        <f>F18+F20</f>
        <v>542904</v>
      </c>
      <c r="G17" s="170">
        <f aca="true" t="shared" si="5" ref="G17:M17">G18+G20</f>
        <v>542904</v>
      </c>
      <c r="H17" s="170">
        <f t="shared" si="5"/>
        <v>0</v>
      </c>
      <c r="I17" s="170">
        <f t="shared" si="5"/>
        <v>176250</v>
      </c>
      <c r="J17" s="170">
        <f t="shared" si="5"/>
        <v>0</v>
      </c>
      <c r="K17" s="170">
        <f t="shared" si="5"/>
        <v>176250</v>
      </c>
      <c r="L17" s="170">
        <f t="shared" si="5"/>
        <v>0</v>
      </c>
      <c r="M17" s="170">
        <f t="shared" si="5"/>
        <v>0</v>
      </c>
    </row>
    <row r="18" spans="1:13" s="48" customFormat="1" ht="21" customHeight="1">
      <c r="A18" s="207"/>
      <c r="B18" s="208">
        <v>60014</v>
      </c>
      <c r="C18" s="874" t="s">
        <v>34</v>
      </c>
      <c r="D18" s="875"/>
      <c r="E18" s="180">
        <f>E19</f>
        <v>26250</v>
      </c>
      <c r="F18" s="183">
        <f aca="true" t="shared" si="6" ref="F18:M18">F19</f>
        <v>0</v>
      </c>
      <c r="G18" s="183">
        <f t="shared" si="6"/>
        <v>0</v>
      </c>
      <c r="H18" s="183">
        <f t="shared" si="6"/>
        <v>0</v>
      </c>
      <c r="I18" s="183">
        <f t="shared" si="6"/>
        <v>26250</v>
      </c>
      <c r="J18" s="183">
        <f t="shared" si="6"/>
        <v>0</v>
      </c>
      <c r="K18" s="183">
        <f t="shared" si="6"/>
        <v>26250</v>
      </c>
      <c r="L18" s="183">
        <f t="shared" si="6"/>
        <v>0</v>
      </c>
      <c r="M18" s="183">
        <f t="shared" si="6"/>
        <v>0</v>
      </c>
    </row>
    <row r="19" spans="1:13" ht="25.5">
      <c r="A19" s="277"/>
      <c r="B19" s="278"/>
      <c r="C19" s="140" t="s">
        <v>262</v>
      </c>
      <c r="D19" s="162" t="s">
        <v>263</v>
      </c>
      <c r="E19" s="174">
        <f>F19+I19</f>
        <v>26250</v>
      </c>
      <c r="F19" s="92">
        <f>G19+H19</f>
        <v>0</v>
      </c>
      <c r="G19" s="92"/>
      <c r="H19" s="92"/>
      <c r="I19" s="92">
        <f>SUM(J19:M19)</f>
        <v>26250</v>
      </c>
      <c r="J19" s="92"/>
      <c r="K19" s="92">
        <v>26250</v>
      </c>
      <c r="L19" s="92"/>
      <c r="M19" s="92"/>
    </row>
    <row r="20" spans="1:13" s="48" customFormat="1" ht="21" customHeight="1">
      <c r="A20" s="207"/>
      <c r="B20" s="208">
        <v>60016</v>
      </c>
      <c r="C20" s="874" t="s">
        <v>581</v>
      </c>
      <c r="D20" s="875"/>
      <c r="E20" s="180">
        <f>SUM(E21:E22)</f>
        <v>692904</v>
      </c>
      <c r="F20" s="183">
        <f>SUM(F21:F22)</f>
        <v>542904</v>
      </c>
      <c r="G20" s="183">
        <f aca="true" t="shared" si="7" ref="G20:M20">SUM(G21:G22)</f>
        <v>542904</v>
      </c>
      <c r="H20" s="183">
        <f t="shared" si="7"/>
        <v>0</v>
      </c>
      <c r="I20" s="183">
        <f t="shared" si="7"/>
        <v>150000</v>
      </c>
      <c r="J20" s="183">
        <f t="shared" si="7"/>
        <v>0</v>
      </c>
      <c r="K20" s="183">
        <f t="shared" si="7"/>
        <v>150000</v>
      </c>
      <c r="L20" s="183">
        <f t="shared" si="7"/>
        <v>0</v>
      </c>
      <c r="M20" s="183">
        <f t="shared" si="7"/>
        <v>0</v>
      </c>
    </row>
    <row r="21" spans="1:13" ht="29.25" customHeight="1">
      <c r="A21" s="277"/>
      <c r="B21" s="278"/>
      <c r="C21" s="140" t="s">
        <v>530</v>
      </c>
      <c r="D21" s="716" t="s">
        <v>528</v>
      </c>
      <c r="E21" s="174">
        <f>F21+I21</f>
        <v>542904</v>
      </c>
      <c r="F21" s="92">
        <f>G21+H21</f>
        <v>542904</v>
      </c>
      <c r="G21" s="92">
        <v>542904</v>
      </c>
      <c r="H21" s="92"/>
      <c r="I21" s="92">
        <f>SUM(J21:M21)</f>
        <v>0</v>
      </c>
      <c r="J21" s="92"/>
      <c r="K21" s="92"/>
      <c r="L21" s="92"/>
      <c r="M21" s="92"/>
    </row>
    <row r="22" spans="1:13" ht="25.5">
      <c r="A22" s="54"/>
      <c r="B22" s="58"/>
      <c r="C22" s="184">
        <v>2708</v>
      </c>
      <c r="D22" s="188" t="s">
        <v>547</v>
      </c>
      <c r="E22" s="179">
        <f>F22+I22</f>
        <v>150000</v>
      </c>
      <c r="F22" s="65">
        <f>G22+H22</f>
        <v>0</v>
      </c>
      <c r="G22" s="65"/>
      <c r="H22" s="65"/>
      <c r="I22" s="65">
        <f>SUM(J22:M22)</f>
        <v>150000</v>
      </c>
      <c r="J22" s="65"/>
      <c r="K22" s="65">
        <v>150000</v>
      </c>
      <c r="L22" s="65"/>
      <c r="M22" s="65"/>
    </row>
    <row r="23" spans="1:14" s="49" customFormat="1" ht="21.75" customHeight="1">
      <c r="A23" s="212">
        <v>700</v>
      </c>
      <c r="B23" s="876" t="s">
        <v>482</v>
      </c>
      <c r="C23" s="877"/>
      <c r="D23" s="895"/>
      <c r="E23" s="174">
        <f aca="true" t="shared" si="8" ref="E23:M23">E24</f>
        <v>1308168</v>
      </c>
      <c r="F23" s="170">
        <f t="shared" si="8"/>
        <v>1252800</v>
      </c>
      <c r="G23" s="170">
        <f t="shared" si="8"/>
        <v>0</v>
      </c>
      <c r="H23" s="170">
        <f t="shared" si="8"/>
        <v>1252800</v>
      </c>
      <c r="I23" s="170">
        <f t="shared" si="8"/>
        <v>55368</v>
      </c>
      <c r="J23" s="170">
        <f t="shared" si="8"/>
        <v>0</v>
      </c>
      <c r="K23" s="170">
        <f t="shared" si="8"/>
        <v>0</v>
      </c>
      <c r="L23" s="170">
        <f t="shared" si="8"/>
        <v>0</v>
      </c>
      <c r="M23" s="170">
        <f t="shared" si="8"/>
        <v>55368</v>
      </c>
      <c r="N23" s="131"/>
    </row>
    <row r="24" spans="1:13" s="48" customFormat="1" ht="23.25" customHeight="1">
      <c r="A24" s="130"/>
      <c r="B24" s="208">
        <v>70005</v>
      </c>
      <c r="C24" s="878" t="s">
        <v>483</v>
      </c>
      <c r="D24" s="879"/>
      <c r="E24" s="180">
        <f aca="true" t="shared" si="9" ref="E24:M24">SUM(E25:E30)-E30</f>
        <v>1308168</v>
      </c>
      <c r="F24" s="183">
        <f t="shared" si="9"/>
        <v>1252800</v>
      </c>
      <c r="G24" s="183">
        <f t="shared" si="9"/>
        <v>0</v>
      </c>
      <c r="H24" s="183">
        <f t="shared" si="9"/>
        <v>1252800</v>
      </c>
      <c r="I24" s="183">
        <f t="shared" si="9"/>
        <v>55368</v>
      </c>
      <c r="J24" s="183">
        <f t="shared" si="9"/>
        <v>0</v>
      </c>
      <c r="K24" s="183">
        <f t="shared" si="9"/>
        <v>0</v>
      </c>
      <c r="L24" s="183">
        <f t="shared" si="9"/>
        <v>0</v>
      </c>
      <c r="M24" s="183">
        <f t="shared" si="9"/>
        <v>55368</v>
      </c>
    </row>
    <row r="25" spans="1:13" ht="20.25" customHeight="1">
      <c r="A25" s="52"/>
      <c r="B25" s="158"/>
      <c r="C25" s="80" t="s">
        <v>484</v>
      </c>
      <c r="D25" s="81" t="s">
        <v>485</v>
      </c>
      <c r="E25" s="176">
        <f>F25+I25</f>
        <v>6120</v>
      </c>
      <c r="F25" s="82">
        <f>G25+H25</f>
        <v>0</v>
      </c>
      <c r="G25" s="82"/>
      <c r="H25" s="82"/>
      <c r="I25" s="82">
        <f>SUM(J25:M25)</f>
        <v>6120</v>
      </c>
      <c r="J25" s="82"/>
      <c r="K25" s="82"/>
      <c r="L25" s="82"/>
      <c r="M25" s="82">
        <v>6120</v>
      </c>
    </row>
    <row r="26" spans="1:13" ht="38.25">
      <c r="A26" s="52"/>
      <c r="B26" s="57"/>
      <c r="C26" s="60" t="s">
        <v>488</v>
      </c>
      <c r="D26" s="162" t="s">
        <v>489</v>
      </c>
      <c r="E26" s="175">
        <f>F26+I26</f>
        <v>20006</v>
      </c>
      <c r="F26" s="66">
        <f>G26+H26</f>
        <v>0</v>
      </c>
      <c r="G26" s="66"/>
      <c r="H26" s="66"/>
      <c r="I26" s="66">
        <f>SUM(J26:M26)</f>
        <v>20006</v>
      </c>
      <c r="J26" s="66"/>
      <c r="K26" s="66"/>
      <c r="L26" s="66"/>
      <c r="M26" s="66">
        <v>20006</v>
      </c>
    </row>
    <row r="27" spans="1:13" ht="25.5">
      <c r="A27" s="136"/>
      <c r="B27" s="78"/>
      <c r="C27" s="80" t="s">
        <v>123</v>
      </c>
      <c r="D27" s="187" t="s">
        <v>124</v>
      </c>
      <c r="E27" s="176">
        <f>F27+I27</f>
        <v>1252800</v>
      </c>
      <c r="F27" s="82">
        <f>G27+H27</f>
        <v>1252800</v>
      </c>
      <c r="G27" s="82"/>
      <c r="H27" s="82">
        <f>962800+260000+30000</f>
        <v>1252800</v>
      </c>
      <c r="I27" s="82">
        <f>SUM(J27:M27)</f>
        <v>0</v>
      </c>
      <c r="J27" s="82"/>
      <c r="K27" s="82"/>
      <c r="L27" s="82"/>
      <c r="M27" s="82"/>
    </row>
    <row r="28" spans="1:13" ht="21" customHeight="1">
      <c r="A28" s="156"/>
      <c r="B28" s="216"/>
      <c r="C28" s="159" t="s">
        <v>480</v>
      </c>
      <c r="D28" s="217" t="s">
        <v>481</v>
      </c>
      <c r="E28" s="190">
        <f>F28+I28</f>
        <v>29242</v>
      </c>
      <c r="F28" s="133">
        <f>G28+H28</f>
        <v>0</v>
      </c>
      <c r="G28" s="133"/>
      <c r="H28" s="133"/>
      <c r="I28" s="133">
        <f>SUM(J28:M28)</f>
        <v>29242</v>
      </c>
      <c r="J28" s="133"/>
      <c r="K28" s="133"/>
      <c r="L28" s="133"/>
      <c r="M28" s="133">
        <v>29242</v>
      </c>
    </row>
    <row r="29" spans="1:13" ht="24.75" customHeight="1">
      <c r="A29" s="69"/>
      <c r="B29" s="3"/>
      <c r="C29" s="64"/>
      <c r="D29" s="4"/>
      <c r="E29" s="192"/>
      <c r="F29" s="76"/>
      <c r="G29" s="76"/>
      <c r="H29" s="76"/>
      <c r="I29" s="76"/>
      <c r="J29" s="76"/>
      <c r="K29" s="76"/>
      <c r="L29" s="76"/>
      <c r="M29" s="76"/>
    </row>
    <row r="30" spans="1:13" s="40" customFormat="1" ht="8.25">
      <c r="A30" s="70">
        <v>1</v>
      </c>
      <c r="B30" s="70">
        <v>2</v>
      </c>
      <c r="C30" s="70">
        <v>3</v>
      </c>
      <c r="D30" s="70">
        <v>4</v>
      </c>
      <c r="E30" s="718">
        <v>5</v>
      </c>
      <c r="F30" s="70">
        <v>6</v>
      </c>
      <c r="G30" s="70">
        <v>7</v>
      </c>
      <c r="H30" s="70">
        <v>8</v>
      </c>
      <c r="I30" s="70">
        <v>9</v>
      </c>
      <c r="J30" s="70">
        <v>10</v>
      </c>
      <c r="K30" s="70">
        <v>11</v>
      </c>
      <c r="L30" s="70">
        <v>12</v>
      </c>
      <c r="M30" s="70">
        <v>13</v>
      </c>
    </row>
    <row r="31" spans="1:14" s="49" customFormat="1" ht="21" customHeight="1">
      <c r="A31" s="212">
        <v>750</v>
      </c>
      <c r="B31" s="876" t="s">
        <v>492</v>
      </c>
      <c r="C31" s="877"/>
      <c r="D31" s="895"/>
      <c r="E31" s="174">
        <f aca="true" t="shared" si="10" ref="E31:M31">E35+E32</f>
        <v>86422</v>
      </c>
      <c r="F31" s="170">
        <f t="shared" si="10"/>
        <v>0</v>
      </c>
      <c r="G31" s="170">
        <f t="shared" si="10"/>
        <v>0</v>
      </c>
      <c r="H31" s="170">
        <f t="shared" si="10"/>
        <v>0</v>
      </c>
      <c r="I31" s="170">
        <f t="shared" si="10"/>
        <v>86422</v>
      </c>
      <c r="J31" s="170">
        <f t="shared" si="10"/>
        <v>0</v>
      </c>
      <c r="K31" s="170">
        <f t="shared" si="10"/>
        <v>0</v>
      </c>
      <c r="L31" s="170">
        <f>L35+L32</f>
        <v>69122</v>
      </c>
      <c r="M31" s="170">
        <f t="shared" si="10"/>
        <v>17300</v>
      </c>
      <c r="N31" s="131"/>
    </row>
    <row r="32" spans="1:13" s="48" customFormat="1" ht="21" customHeight="1">
      <c r="A32" s="130"/>
      <c r="B32" s="208">
        <v>75011</v>
      </c>
      <c r="C32" s="874" t="s">
        <v>531</v>
      </c>
      <c r="D32" s="875"/>
      <c r="E32" s="180">
        <f aca="true" t="shared" si="11" ref="E32:M32">SUM(E33:E34)</f>
        <v>70322</v>
      </c>
      <c r="F32" s="183">
        <f t="shared" si="11"/>
        <v>0</v>
      </c>
      <c r="G32" s="183">
        <f t="shared" si="11"/>
        <v>0</v>
      </c>
      <c r="H32" s="183">
        <f t="shared" si="11"/>
        <v>0</v>
      </c>
      <c r="I32" s="183">
        <f t="shared" si="11"/>
        <v>70322</v>
      </c>
      <c r="J32" s="183">
        <f t="shared" si="11"/>
        <v>0</v>
      </c>
      <c r="K32" s="183">
        <f t="shared" si="11"/>
        <v>0</v>
      </c>
      <c r="L32" s="183">
        <f>SUM(L33:L34)</f>
        <v>69122</v>
      </c>
      <c r="M32" s="183">
        <f t="shared" si="11"/>
        <v>1200</v>
      </c>
    </row>
    <row r="33" spans="1:13" ht="27.75" customHeight="1">
      <c r="A33" s="52"/>
      <c r="B33" s="79"/>
      <c r="C33" s="80" t="s">
        <v>532</v>
      </c>
      <c r="D33" s="187" t="s">
        <v>264</v>
      </c>
      <c r="E33" s="176">
        <f>F33+I33</f>
        <v>69122</v>
      </c>
      <c r="F33" s="138">
        <f>G33+H33</f>
        <v>0</v>
      </c>
      <c r="G33" s="82"/>
      <c r="H33" s="82"/>
      <c r="I33" s="138">
        <f>SUM(J33:M33)</f>
        <v>69122</v>
      </c>
      <c r="J33" s="82"/>
      <c r="K33" s="82"/>
      <c r="L33" s="82">
        <v>69122</v>
      </c>
      <c r="M33" s="82"/>
    </row>
    <row r="34" spans="1:13" ht="25.5">
      <c r="A34" s="54"/>
      <c r="B34" s="58"/>
      <c r="C34" s="61" t="s">
        <v>537</v>
      </c>
      <c r="D34" s="163" t="s">
        <v>538</v>
      </c>
      <c r="E34" s="179">
        <f>F34+I34</f>
        <v>1200</v>
      </c>
      <c r="F34" s="65">
        <f>G34+H34</f>
        <v>0</v>
      </c>
      <c r="G34" s="65"/>
      <c r="H34" s="65"/>
      <c r="I34" s="65">
        <f>SUM(J34:M34)</f>
        <v>1200</v>
      </c>
      <c r="J34" s="65"/>
      <c r="K34" s="65"/>
      <c r="L34" s="65"/>
      <c r="M34" s="65">
        <v>1200</v>
      </c>
    </row>
    <row r="35" spans="1:13" s="48" customFormat="1" ht="20.25" customHeight="1">
      <c r="A35" s="55"/>
      <c r="B35" s="208">
        <v>75023</v>
      </c>
      <c r="C35" s="874" t="s">
        <v>493</v>
      </c>
      <c r="D35" s="875"/>
      <c r="E35" s="180">
        <f>SUM(E36:E37)</f>
        <v>16100</v>
      </c>
      <c r="F35" s="183">
        <f aca="true" t="shared" si="12" ref="F35:M35">SUM(F36:F37)</f>
        <v>0</v>
      </c>
      <c r="G35" s="183">
        <f t="shared" si="12"/>
        <v>0</v>
      </c>
      <c r="H35" s="183">
        <f t="shared" si="12"/>
        <v>0</v>
      </c>
      <c r="I35" s="183">
        <f t="shared" si="12"/>
        <v>16100</v>
      </c>
      <c r="J35" s="183">
        <f t="shared" si="12"/>
        <v>0</v>
      </c>
      <c r="K35" s="183">
        <f t="shared" si="12"/>
        <v>0</v>
      </c>
      <c r="L35" s="183">
        <f t="shared" si="12"/>
        <v>0</v>
      </c>
      <c r="M35" s="183">
        <f t="shared" si="12"/>
        <v>16100</v>
      </c>
    </row>
    <row r="36" spans="1:13" ht="20.25" customHeight="1">
      <c r="A36" s="52"/>
      <c r="B36" s="79"/>
      <c r="C36" s="80" t="s">
        <v>490</v>
      </c>
      <c r="D36" s="182" t="s">
        <v>491</v>
      </c>
      <c r="E36" s="176">
        <f>F36+I36</f>
        <v>15600</v>
      </c>
      <c r="F36" s="82"/>
      <c r="G36" s="82"/>
      <c r="H36" s="82"/>
      <c r="I36" s="138">
        <f>SUM(J36:M36)</f>
        <v>15600</v>
      </c>
      <c r="J36" s="82"/>
      <c r="K36" s="82"/>
      <c r="L36" s="82"/>
      <c r="M36" s="82">
        <f>4800+10800</f>
        <v>15600</v>
      </c>
    </row>
    <row r="37" spans="1:13" ht="20.25" customHeight="1">
      <c r="A37" s="54"/>
      <c r="B37" s="58"/>
      <c r="C37" s="60" t="s">
        <v>480</v>
      </c>
      <c r="D37" s="18" t="s">
        <v>481</v>
      </c>
      <c r="E37" s="175">
        <f>F37+I37</f>
        <v>500</v>
      </c>
      <c r="F37" s="65">
        <f>G37+H37</f>
        <v>0</v>
      </c>
      <c r="G37" s="65"/>
      <c r="H37" s="65"/>
      <c r="I37" s="65">
        <f>SUM(J37:M37)</f>
        <v>500</v>
      </c>
      <c r="J37" s="65"/>
      <c r="K37" s="65"/>
      <c r="L37" s="65"/>
      <c r="M37" s="65">
        <f>300+200</f>
        <v>500</v>
      </c>
    </row>
    <row r="38" spans="1:13" s="49" customFormat="1" ht="59.25" customHeight="1">
      <c r="A38" s="212">
        <v>751</v>
      </c>
      <c r="B38" s="881" t="s">
        <v>533</v>
      </c>
      <c r="C38" s="882"/>
      <c r="D38" s="880"/>
      <c r="E38" s="174">
        <f>E39</f>
        <v>1000</v>
      </c>
      <c r="F38" s="170">
        <f>F39</f>
        <v>0</v>
      </c>
      <c r="G38" s="170">
        <f aca="true" t="shared" si="13" ref="G38:M38">G39</f>
        <v>0</v>
      </c>
      <c r="H38" s="170">
        <f t="shared" si="13"/>
        <v>0</v>
      </c>
      <c r="I38" s="170">
        <f t="shared" si="13"/>
        <v>1000</v>
      </c>
      <c r="J38" s="170">
        <f t="shared" si="13"/>
        <v>0</v>
      </c>
      <c r="K38" s="170">
        <f t="shared" si="13"/>
        <v>0</v>
      </c>
      <c r="L38" s="170">
        <f t="shared" si="13"/>
        <v>1000</v>
      </c>
      <c r="M38" s="170">
        <f t="shared" si="13"/>
        <v>0</v>
      </c>
    </row>
    <row r="39" spans="1:13" s="48" customFormat="1" ht="33" customHeight="1">
      <c r="A39" s="130"/>
      <c r="B39" s="208">
        <v>75101</v>
      </c>
      <c r="C39" s="878" t="s">
        <v>534</v>
      </c>
      <c r="D39" s="879"/>
      <c r="E39" s="180">
        <f aca="true" t="shared" si="14" ref="E39:M39">E40</f>
        <v>1000</v>
      </c>
      <c r="F39" s="183">
        <f t="shared" si="14"/>
        <v>0</v>
      </c>
      <c r="G39" s="183">
        <f t="shared" si="14"/>
        <v>0</v>
      </c>
      <c r="H39" s="183">
        <f t="shared" si="14"/>
        <v>0</v>
      </c>
      <c r="I39" s="183">
        <f t="shared" si="14"/>
        <v>1000</v>
      </c>
      <c r="J39" s="183">
        <f t="shared" si="14"/>
        <v>0</v>
      </c>
      <c r="K39" s="183">
        <f t="shared" si="14"/>
        <v>0</v>
      </c>
      <c r="L39" s="183">
        <f t="shared" si="14"/>
        <v>1000</v>
      </c>
      <c r="M39" s="183">
        <f t="shared" si="14"/>
        <v>0</v>
      </c>
    </row>
    <row r="40" spans="1:13" ht="28.5" customHeight="1">
      <c r="A40" s="52"/>
      <c r="B40" s="184"/>
      <c r="C40" s="185" t="s">
        <v>532</v>
      </c>
      <c r="D40" s="187" t="s">
        <v>264</v>
      </c>
      <c r="E40" s="178">
        <f>F40+I40</f>
        <v>1000</v>
      </c>
      <c r="F40" s="138">
        <f>G40+H40</f>
        <v>0</v>
      </c>
      <c r="G40" s="138"/>
      <c r="H40" s="138"/>
      <c r="I40" s="138">
        <f>SUM(J40:M40)</f>
        <v>1000</v>
      </c>
      <c r="J40" s="138"/>
      <c r="K40" s="138"/>
      <c r="L40" s="138">
        <v>1000</v>
      </c>
      <c r="M40" s="138"/>
    </row>
    <row r="41" spans="1:13" s="49" customFormat="1" ht="36">
      <c r="A41" s="213">
        <v>754</v>
      </c>
      <c r="B41" s="214"/>
      <c r="C41" s="212"/>
      <c r="D41" s="215" t="s">
        <v>535</v>
      </c>
      <c r="E41" s="174">
        <f>E42</f>
        <v>1000</v>
      </c>
      <c r="F41" s="170">
        <f>F42</f>
        <v>0</v>
      </c>
      <c r="G41" s="170">
        <f aca="true" t="shared" si="15" ref="G41:M41">G42</f>
        <v>0</v>
      </c>
      <c r="H41" s="170">
        <f t="shared" si="15"/>
        <v>0</v>
      </c>
      <c r="I41" s="170">
        <f t="shared" si="15"/>
        <v>1000</v>
      </c>
      <c r="J41" s="170">
        <f t="shared" si="15"/>
        <v>0</v>
      </c>
      <c r="K41" s="170">
        <f t="shared" si="15"/>
        <v>0</v>
      </c>
      <c r="L41" s="170">
        <f t="shared" si="15"/>
        <v>1000</v>
      </c>
      <c r="M41" s="170">
        <f t="shared" si="15"/>
        <v>0</v>
      </c>
    </row>
    <row r="42" spans="1:13" s="48" customFormat="1" ht="20.25" customHeight="1">
      <c r="A42" s="77"/>
      <c r="B42" s="208">
        <v>75414</v>
      </c>
      <c r="C42" s="208"/>
      <c r="D42" s="210" t="s">
        <v>536</v>
      </c>
      <c r="E42" s="180">
        <f>SUM(E43:E43)</f>
        <v>1000</v>
      </c>
      <c r="F42" s="183">
        <f aca="true" t="shared" si="16" ref="F42:M42">F43</f>
        <v>0</v>
      </c>
      <c r="G42" s="183">
        <f t="shared" si="16"/>
        <v>0</v>
      </c>
      <c r="H42" s="183">
        <f t="shared" si="16"/>
        <v>0</v>
      </c>
      <c r="I42" s="183">
        <f t="shared" si="16"/>
        <v>1000</v>
      </c>
      <c r="J42" s="183">
        <f t="shared" si="16"/>
        <v>0</v>
      </c>
      <c r="K42" s="183">
        <f t="shared" si="16"/>
        <v>0</v>
      </c>
      <c r="L42" s="183">
        <f t="shared" si="16"/>
        <v>1000</v>
      </c>
      <c r="M42" s="183">
        <f t="shared" si="16"/>
        <v>0</v>
      </c>
    </row>
    <row r="43" spans="1:13" ht="27.75" customHeight="1">
      <c r="A43" s="156"/>
      <c r="B43" s="132"/>
      <c r="C43" s="159" t="s">
        <v>532</v>
      </c>
      <c r="D43" s="187" t="s">
        <v>264</v>
      </c>
      <c r="E43" s="174">
        <f>F43+I43</f>
        <v>1000</v>
      </c>
      <c r="F43" s="92">
        <f>G43+H43</f>
        <v>0</v>
      </c>
      <c r="G43" s="133"/>
      <c r="H43" s="133"/>
      <c r="I43" s="133">
        <f>SUM(J43:M43)</f>
        <v>1000</v>
      </c>
      <c r="J43" s="133"/>
      <c r="K43" s="133"/>
      <c r="L43" s="133">
        <v>1000</v>
      </c>
      <c r="M43" s="133"/>
    </row>
    <row r="44" spans="1:14" s="49" customFormat="1" ht="75.75" customHeight="1">
      <c r="A44" s="212">
        <v>756</v>
      </c>
      <c r="B44" s="881" t="s">
        <v>281</v>
      </c>
      <c r="C44" s="882"/>
      <c r="D44" s="880"/>
      <c r="E44" s="174">
        <f aca="true" t="shared" si="17" ref="E44:M44">E45+E47+E57+E68+E72</f>
        <v>4881200</v>
      </c>
      <c r="F44" s="170">
        <f t="shared" si="17"/>
        <v>0</v>
      </c>
      <c r="G44" s="170">
        <f t="shared" si="17"/>
        <v>0</v>
      </c>
      <c r="H44" s="170">
        <f t="shared" si="17"/>
        <v>0</v>
      </c>
      <c r="I44" s="170">
        <f t="shared" si="17"/>
        <v>4881200</v>
      </c>
      <c r="J44" s="170">
        <f t="shared" si="17"/>
        <v>2505730</v>
      </c>
      <c r="K44" s="170">
        <f t="shared" si="17"/>
        <v>0</v>
      </c>
      <c r="L44" s="170">
        <f t="shared" si="17"/>
        <v>0</v>
      </c>
      <c r="M44" s="170">
        <f t="shared" si="17"/>
        <v>2375470</v>
      </c>
      <c r="N44" s="131"/>
    </row>
    <row r="45" spans="1:13" s="48" customFormat="1" ht="31.5" customHeight="1">
      <c r="A45" s="77"/>
      <c r="B45" s="208">
        <v>75601</v>
      </c>
      <c r="C45" s="878" t="s">
        <v>494</v>
      </c>
      <c r="D45" s="879"/>
      <c r="E45" s="180">
        <f aca="true" t="shared" si="18" ref="E45:M45">E46</f>
        <v>3000</v>
      </c>
      <c r="F45" s="183">
        <f t="shared" si="18"/>
        <v>0</v>
      </c>
      <c r="G45" s="183">
        <f t="shared" si="18"/>
        <v>0</v>
      </c>
      <c r="H45" s="183">
        <f t="shared" si="18"/>
        <v>0</v>
      </c>
      <c r="I45" s="183">
        <f t="shared" si="18"/>
        <v>3000</v>
      </c>
      <c r="J45" s="183">
        <f t="shared" si="18"/>
        <v>0</v>
      </c>
      <c r="K45" s="183">
        <f t="shared" si="18"/>
        <v>0</v>
      </c>
      <c r="L45" s="183">
        <f t="shared" si="18"/>
        <v>0</v>
      </c>
      <c r="M45" s="183">
        <f t="shared" si="18"/>
        <v>3000</v>
      </c>
    </row>
    <row r="46" spans="1:13" ht="25.5">
      <c r="A46" s="156"/>
      <c r="B46" s="132"/>
      <c r="C46" s="159" t="s">
        <v>495</v>
      </c>
      <c r="D46" s="193" t="s">
        <v>496</v>
      </c>
      <c r="E46" s="190">
        <f>F46+I46</f>
        <v>3000</v>
      </c>
      <c r="F46" s="133">
        <f>G46+H46</f>
        <v>0</v>
      </c>
      <c r="G46" s="133"/>
      <c r="H46" s="133"/>
      <c r="I46" s="133">
        <f>SUM(J46:M46)</f>
        <v>3000</v>
      </c>
      <c r="J46" s="133"/>
      <c r="K46" s="133"/>
      <c r="L46" s="133"/>
      <c r="M46" s="133">
        <v>3000</v>
      </c>
    </row>
    <row r="47" spans="1:13" s="48" customFormat="1" ht="42.75" customHeight="1">
      <c r="A47" s="53"/>
      <c r="B47" s="208">
        <v>75615</v>
      </c>
      <c r="C47" s="896" t="s">
        <v>497</v>
      </c>
      <c r="D47" s="897"/>
      <c r="E47" s="180">
        <f aca="true" t="shared" si="19" ref="E47:M47">SUM(E48:E54)</f>
        <v>1194994</v>
      </c>
      <c r="F47" s="183">
        <f t="shared" si="19"/>
        <v>0</v>
      </c>
      <c r="G47" s="183">
        <f t="shared" si="19"/>
        <v>0</v>
      </c>
      <c r="H47" s="183">
        <f t="shared" si="19"/>
        <v>0</v>
      </c>
      <c r="I47" s="183">
        <f t="shared" si="19"/>
        <v>1194994</v>
      </c>
      <c r="J47" s="183">
        <f t="shared" si="19"/>
        <v>1182994</v>
      </c>
      <c r="K47" s="183">
        <f t="shared" si="19"/>
        <v>0</v>
      </c>
      <c r="L47" s="183">
        <f>SUM(L48:L54)</f>
        <v>0</v>
      </c>
      <c r="M47" s="183">
        <f t="shared" si="19"/>
        <v>12000</v>
      </c>
    </row>
    <row r="48" spans="1:13" ht="20.25" customHeight="1">
      <c r="A48" s="54"/>
      <c r="B48" s="184"/>
      <c r="C48" s="80" t="s">
        <v>498</v>
      </c>
      <c r="D48" s="182" t="s">
        <v>504</v>
      </c>
      <c r="E48" s="176">
        <f aca="true" t="shared" si="20" ref="E48:E54">F48+I48</f>
        <v>1096784</v>
      </c>
      <c r="F48" s="138">
        <f aca="true" t="shared" si="21" ref="F48:F54">G48+H48</f>
        <v>0</v>
      </c>
      <c r="G48" s="138"/>
      <c r="H48" s="138"/>
      <c r="I48" s="138">
        <f aca="true" t="shared" si="22" ref="I48:I54">SUM(J48:M48)</f>
        <v>1096784</v>
      </c>
      <c r="J48" s="138">
        <v>1096784</v>
      </c>
      <c r="K48" s="138"/>
      <c r="L48" s="138"/>
      <c r="M48" s="138"/>
    </row>
    <row r="49" spans="1:13" ht="20.25" customHeight="1">
      <c r="A49" s="52"/>
      <c r="B49" s="28"/>
      <c r="C49" s="60" t="s">
        <v>499</v>
      </c>
      <c r="D49" s="18" t="s">
        <v>505</v>
      </c>
      <c r="E49" s="175">
        <f>F49+I49</f>
        <v>63615</v>
      </c>
      <c r="F49" s="65">
        <f t="shared" si="21"/>
        <v>0</v>
      </c>
      <c r="G49" s="66"/>
      <c r="H49" s="66"/>
      <c r="I49" s="65">
        <f t="shared" si="22"/>
        <v>63615</v>
      </c>
      <c r="J49" s="66">
        <v>63615</v>
      </c>
      <c r="K49" s="66"/>
      <c r="L49" s="66"/>
      <c r="M49" s="66"/>
    </row>
    <row r="50" spans="1:13" ht="20.25" customHeight="1">
      <c r="A50" s="54"/>
      <c r="B50" s="58"/>
      <c r="C50" s="60" t="s">
        <v>500</v>
      </c>
      <c r="D50" s="39" t="s">
        <v>506</v>
      </c>
      <c r="E50" s="175">
        <f t="shared" si="20"/>
        <v>11315</v>
      </c>
      <c r="F50" s="65">
        <f t="shared" si="21"/>
        <v>0</v>
      </c>
      <c r="G50" s="65"/>
      <c r="H50" s="65"/>
      <c r="I50" s="65">
        <f t="shared" si="22"/>
        <v>11315</v>
      </c>
      <c r="J50" s="65">
        <v>11315</v>
      </c>
      <c r="K50" s="65"/>
      <c r="L50" s="65"/>
      <c r="M50" s="65"/>
    </row>
    <row r="51" spans="1:13" ht="20.25" customHeight="1">
      <c r="A51" s="52"/>
      <c r="B51" s="28"/>
      <c r="C51" s="60" t="s">
        <v>501</v>
      </c>
      <c r="D51" s="18" t="s">
        <v>507</v>
      </c>
      <c r="E51" s="175">
        <f t="shared" si="20"/>
        <v>1130</v>
      </c>
      <c r="F51" s="65">
        <f t="shared" si="21"/>
        <v>0</v>
      </c>
      <c r="G51" s="66"/>
      <c r="H51" s="66"/>
      <c r="I51" s="65">
        <f t="shared" si="22"/>
        <v>1130</v>
      </c>
      <c r="J51" s="66">
        <v>1130</v>
      </c>
      <c r="K51" s="66"/>
      <c r="L51" s="66"/>
      <c r="M51" s="66"/>
    </row>
    <row r="52" spans="1:13" ht="20.25" customHeight="1">
      <c r="A52" s="52"/>
      <c r="B52" s="28"/>
      <c r="C52" s="60" t="s">
        <v>502</v>
      </c>
      <c r="D52" s="18" t="s">
        <v>508</v>
      </c>
      <c r="E52" s="175">
        <f t="shared" si="20"/>
        <v>12000</v>
      </c>
      <c r="F52" s="65">
        <f t="shared" si="21"/>
        <v>0</v>
      </c>
      <c r="G52" s="66"/>
      <c r="H52" s="66"/>
      <c r="I52" s="65">
        <f t="shared" si="22"/>
        <v>12000</v>
      </c>
      <c r="J52" s="66"/>
      <c r="K52" s="66"/>
      <c r="L52" s="66"/>
      <c r="M52" s="66">
        <v>12000</v>
      </c>
    </row>
    <row r="53" spans="1:13" ht="20.25" customHeight="1">
      <c r="A53" s="52"/>
      <c r="B53" s="28"/>
      <c r="C53" s="60" t="s">
        <v>486</v>
      </c>
      <c r="D53" s="18" t="s">
        <v>487</v>
      </c>
      <c r="E53" s="175">
        <f t="shared" si="20"/>
        <v>150</v>
      </c>
      <c r="F53" s="65">
        <f t="shared" si="21"/>
        <v>0</v>
      </c>
      <c r="G53" s="66"/>
      <c r="H53" s="66"/>
      <c r="I53" s="65">
        <f t="shared" si="22"/>
        <v>150</v>
      </c>
      <c r="J53" s="66">
        <v>150</v>
      </c>
      <c r="K53" s="66"/>
      <c r="L53" s="66"/>
      <c r="M53" s="66"/>
    </row>
    <row r="54" spans="1:13" ht="20.25" customHeight="1">
      <c r="A54" s="156"/>
      <c r="B54" s="160"/>
      <c r="C54" s="157" t="s">
        <v>503</v>
      </c>
      <c r="D54" s="287" t="s">
        <v>509</v>
      </c>
      <c r="E54" s="177">
        <f t="shared" si="20"/>
        <v>10000</v>
      </c>
      <c r="F54" s="91">
        <f t="shared" si="21"/>
        <v>0</v>
      </c>
      <c r="G54" s="91"/>
      <c r="H54" s="91"/>
      <c r="I54" s="91">
        <f t="shared" si="22"/>
        <v>10000</v>
      </c>
      <c r="J54" s="91">
        <v>10000</v>
      </c>
      <c r="K54" s="91"/>
      <c r="L54" s="91"/>
      <c r="M54" s="91"/>
    </row>
    <row r="55" spans="1:13" ht="41.25" customHeight="1">
      <c r="A55" s="69"/>
      <c r="B55" s="3"/>
      <c r="C55" s="64"/>
      <c r="D55" s="4"/>
      <c r="E55" s="192"/>
      <c r="F55" s="76"/>
      <c r="G55" s="76"/>
      <c r="H55" s="76"/>
      <c r="I55" s="76"/>
      <c r="J55" s="76"/>
      <c r="K55" s="76"/>
      <c r="L55" s="76"/>
      <c r="M55" s="76"/>
    </row>
    <row r="56" spans="1:13" s="40" customFormat="1" ht="8.25">
      <c r="A56" s="70">
        <v>1</v>
      </c>
      <c r="B56" s="70">
        <v>2</v>
      </c>
      <c r="C56" s="70">
        <v>3</v>
      </c>
      <c r="D56" s="70">
        <v>4</v>
      </c>
      <c r="E56" s="718">
        <v>5</v>
      </c>
      <c r="F56" s="70">
        <v>6</v>
      </c>
      <c r="G56" s="70">
        <v>7</v>
      </c>
      <c r="H56" s="70">
        <v>8</v>
      </c>
      <c r="I56" s="70">
        <v>9</v>
      </c>
      <c r="J56" s="70">
        <v>10</v>
      </c>
      <c r="K56" s="70">
        <v>11</v>
      </c>
      <c r="L56" s="70">
        <v>12</v>
      </c>
      <c r="M56" s="70">
        <v>13</v>
      </c>
    </row>
    <row r="57" spans="1:14" s="48" customFormat="1" ht="44.25" customHeight="1">
      <c r="A57" s="130"/>
      <c r="B57" s="225">
        <v>75616</v>
      </c>
      <c r="C57" s="878" t="s">
        <v>510</v>
      </c>
      <c r="D57" s="879"/>
      <c r="E57" s="227">
        <f aca="true" t="shared" si="23" ref="E57:M57">SUM(E58:E67)</f>
        <v>1388736</v>
      </c>
      <c r="F57" s="226">
        <f t="shared" si="23"/>
        <v>0</v>
      </c>
      <c r="G57" s="226">
        <f t="shared" si="23"/>
        <v>0</v>
      </c>
      <c r="H57" s="226">
        <f t="shared" si="23"/>
        <v>0</v>
      </c>
      <c r="I57" s="226">
        <f t="shared" si="23"/>
        <v>1388736</v>
      </c>
      <c r="J57" s="226">
        <f t="shared" si="23"/>
        <v>1220736</v>
      </c>
      <c r="K57" s="226">
        <f t="shared" si="23"/>
        <v>0</v>
      </c>
      <c r="L57" s="226">
        <f>SUM(L58:L67)</f>
        <v>0</v>
      </c>
      <c r="M57" s="226">
        <f t="shared" si="23"/>
        <v>168000</v>
      </c>
      <c r="N57" s="789"/>
    </row>
    <row r="58" spans="1:13" ht="19.5" customHeight="1">
      <c r="A58" s="52"/>
      <c r="B58" s="79"/>
      <c r="C58" s="80" t="s">
        <v>498</v>
      </c>
      <c r="D58" s="182" t="s">
        <v>504</v>
      </c>
      <c r="E58" s="176">
        <f aca="true" t="shared" si="24" ref="E58:E67">F58+I58</f>
        <v>446763</v>
      </c>
      <c r="F58" s="138">
        <f aca="true" t="shared" si="25" ref="F58:F67">G58+H58</f>
        <v>0</v>
      </c>
      <c r="G58" s="82"/>
      <c r="H58" s="82"/>
      <c r="I58" s="138">
        <f aca="true" t="shared" si="26" ref="I58:I67">SUM(J58:M58)</f>
        <v>446763</v>
      </c>
      <c r="J58" s="82">
        <v>446763</v>
      </c>
      <c r="K58" s="82"/>
      <c r="L58" s="82"/>
      <c r="M58" s="82"/>
    </row>
    <row r="59" spans="1:13" ht="19.5" customHeight="1">
      <c r="A59" s="54"/>
      <c r="B59" s="58"/>
      <c r="C59" s="60" t="s">
        <v>499</v>
      </c>
      <c r="D59" s="18" t="s">
        <v>505</v>
      </c>
      <c r="E59" s="175">
        <f t="shared" si="24"/>
        <v>544968</v>
      </c>
      <c r="F59" s="65">
        <f t="shared" si="25"/>
        <v>0</v>
      </c>
      <c r="G59" s="65"/>
      <c r="H59" s="65"/>
      <c r="I59" s="65">
        <f t="shared" si="26"/>
        <v>544968</v>
      </c>
      <c r="J59" s="65">
        <v>544968</v>
      </c>
      <c r="K59" s="65"/>
      <c r="L59" s="65"/>
      <c r="M59" s="65"/>
    </row>
    <row r="60" spans="1:13" ht="19.5" customHeight="1">
      <c r="A60" s="52"/>
      <c r="B60" s="28"/>
      <c r="C60" s="60" t="s">
        <v>500</v>
      </c>
      <c r="D60" s="39" t="s">
        <v>506</v>
      </c>
      <c r="E60" s="175">
        <f t="shared" si="24"/>
        <v>1305</v>
      </c>
      <c r="F60" s="65">
        <f t="shared" si="25"/>
        <v>0</v>
      </c>
      <c r="G60" s="66"/>
      <c r="H60" s="66"/>
      <c r="I60" s="65">
        <f t="shared" si="26"/>
        <v>1305</v>
      </c>
      <c r="J60" s="66">
        <v>1305</v>
      </c>
      <c r="K60" s="66"/>
      <c r="L60" s="66"/>
      <c r="M60" s="66"/>
    </row>
    <row r="61" spans="1:13" ht="19.5" customHeight="1">
      <c r="A61" s="52"/>
      <c r="B61" s="28"/>
      <c r="C61" s="60" t="s">
        <v>501</v>
      </c>
      <c r="D61" s="18" t="s">
        <v>507</v>
      </c>
      <c r="E61" s="175">
        <f t="shared" si="24"/>
        <v>165000</v>
      </c>
      <c r="F61" s="65">
        <f t="shared" si="25"/>
        <v>0</v>
      </c>
      <c r="G61" s="66"/>
      <c r="H61" s="66"/>
      <c r="I61" s="65">
        <f t="shared" si="26"/>
        <v>165000</v>
      </c>
      <c r="J61" s="66">
        <v>165000</v>
      </c>
      <c r="K61" s="66"/>
      <c r="L61" s="66"/>
      <c r="M61" s="66"/>
    </row>
    <row r="62" spans="1:13" ht="19.5" customHeight="1">
      <c r="A62" s="52"/>
      <c r="B62" s="28"/>
      <c r="C62" s="60" t="s">
        <v>511</v>
      </c>
      <c r="D62" s="18" t="s">
        <v>512</v>
      </c>
      <c r="E62" s="175">
        <f t="shared" si="24"/>
        <v>8000</v>
      </c>
      <c r="F62" s="65">
        <f t="shared" si="25"/>
        <v>0</v>
      </c>
      <c r="G62" s="66"/>
      <c r="H62" s="66"/>
      <c r="I62" s="65">
        <f t="shared" si="26"/>
        <v>8000</v>
      </c>
      <c r="J62" s="66"/>
      <c r="K62" s="66"/>
      <c r="L62" s="66"/>
      <c r="M62" s="66">
        <f>3000+5000</f>
        <v>8000</v>
      </c>
    </row>
    <row r="63" spans="1:13" ht="19.5" customHeight="1">
      <c r="A63" s="52"/>
      <c r="B63" s="28"/>
      <c r="C63" s="60" t="s">
        <v>126</v>
      </c>
      <c r="D63" s="18" t="s">
        <v>152</v>
      </c>
      <c r="E63" s="175">
        <f t="shared" si="24"/>
        <v>2200</v>
      </c>
      <c r="F63" s="65">
        <f t="shared" si="25"/>
        <v>0</v>
      </c>
      <c r="G63" s="66"/>
      <c r="H63" s="66"/>
      <c r="I63" s="65">
        <f t="shared" si="26"/>
        <v>2200</v>
      </c>
      <c r="J63" s="66">
        <v>2200</v>
      </c>
      <c r="K63" s="66"/>
      <c r="L63" s="66"/>
      <c r="M63" s="66"/>
    </row>
    <row r="64" spans="1:13" ht="19.5" customHeight="1">
      <c r="A64" s="78"/>
      <c r="B64" s="79"/>
      <c r="C64" s="60" t="s">
        <v>513</v>
      </c>
      <c r="D64" s="81" t="s">
        <v>125</v>
      </c>
      <c r="E64" s="175">
        <f t="shared" si="24"/>
        <v>2500</v>
      </c>
      <c r="F64" s="65">
        <f t="shared" si="25"/>
        <v>0</v>
      </c>
      <c r="G64" s="82"/>
      <c r="H64" s="82"/>
      <c r="I64" s="65">
        <f t="shared" si="26"/>
        <v>2500</v>
      </c>
      <c r="J64" s="82">
        <v>2500</v>
      </c>
      <c r="K64" s="82"/>
      <c r="L64" s="82"/>
      <c r="M64" s="82"/>
    </row>
    <row r="65" spans="1:13" ht="19.5" customHeight="1">
      <c r="A65" s="52"/>
      <c r="B65" s="28"/>
      <c r="C65" s="60" t="s">
        <v>502</v>
      </c>
      <c r="D65" s="18" t="s">
        <v>508</v>
      </c>
      <c r="E65" s="175">
        <f t="shared" si="24"/>
        <v>160000</v>
      </c>
      <c r="F65" s="65">
        <f t="shared" si="25"/>
        <v>0</v>
      </c>
      <c r="G65" s="66"/>
      <c r="H65" s="66"/>
      <c r="I65" s="65">
        <f t="shared" si="26"/>
        <v>160000</v>
      </c>
      <c r="J65" s="66"/>
      <c r="K65" s="66"/>
      <c r="L65" s="66"/>
      <c r="M65" s="66">
        <v>160000</v>
      </c>
    </row>
    <row r="66" spans="1:13" ht="19.5" customHeight="1">
      <c r="A66" s="52"/>
      <c r="B66" s="28"/>
      <c r="C66" s="60" t="s">
        <v>486</v>
      </c>
      <c r="D66" s="18" t="s">
        <v>487</v>
      </c>
      <c r="E66" s="175">
        <f t="shared" si="24"/>
        <v>7000</v>
      </c>
      <c r="F66" s="65">
        <f t="shared" si="25"/>
        <v>0</v>
      </c>
      <c r="G66" s="66"/>
      <c r="H66" s="66"/>
      <c r="I66" s="65">
        <f t="shared" si="26"/>
        <v>7000</v>
      </c>
      <c r="J66" s="66">
        <v>7000</v>
      </c>
      <c r="K66" s="66"/>
      <c r="L66" s="66"/>
      <c r="M66" s="66"/>
    </row>
    <row r="67" spans="1:13" ht="19.5" customHeight="1">
      <c r="A67" s="52"/>
      <c r="B67" s="58"/>
      <c r="C67" s="61" t="s">
        <v>503</v>
      </c>
      <c r="D67" s="287" t="s">
        <v>509</v>
      </c>
      <c r="E67" s="179">
        <f t="shared" si="24"/>
        <v>51000</v>
      </c>
      <c r="F67" s="65">
        <f t="shared" si="25"/>
        <v>0</v>
      </c>
      <c r="G67" s="65"/>
      <c r="H67" s="65"/>
      <c r="I67" s="65">
        <f t="shared" si="26"/>
        <v>51000</v>
      </c>
      <c r="J67" s="65">
        <v>51000</v>
      </c>
      <c r="K67" s="65"/>
      <c r="L67" s="65"/>
      <c r="M67" s="65"/>
    </row>
    <row r="68" spans="1:13" s="48" customFormat="1" ht="33.75" customHeight="1">
      <c r="A68" s="53"/>
      <c r="B68" s="208">
        <v>75618</v>
      </c>
      <c r="C68" s="878" t="s">
        <v>59</v>
      </c>
      <c r="D68" s="879"/>
      <c r="E68" s="180">
        <f aca="true" t="shared" si="27" ref="E68:M68">SUM(E69:E71)</f>
        <v>102000</v>
      </c>
      <c r="F68" s="183">
        <f t="shared" si="27"/>
        <v>0</v>
      </c>
      <c r="G68" s="183">
        <f t="shared" si="27"/>
        <v>0</v>
      </c>
      <c r="H68" s="183">
        <f t="shared" si="27"/>
        <v>0</v>
      </c>
      <c r="I68" s="183">
        <f t="shared" si="27"/>
        <v>102000</v>
      </c>
      <c r="J68" s="183">
        <f t="shared" si="27"/>
        <v>102000</v>
      </c>
      <c r="K68" s="183">
        <f t="shared" si="27"/>
        <v>0</v>
      </c>
      <c r="L68" s="183">
        <f t="shared" si="27"/>
        <v>0</v>
      </c>
      <c r="M68" s="183">
        <f t="shared" si="27"/>
        <v>0</v>
      </c>
    </row>
    <row r="69" spans="1:13" ht="21" customHeight="1">
      <c r="A69" s="54"/>
      <c r="B69" s="184"/>
      <c r="C69" s="80" t="s">
        <v>516</v>
      </c>
      <c r="D69" s="182" t="s">
        <v>514</v>
      </c>
      <c r="E69" s="176">
        <f>F69+I69</f>
        <v>30000</v>
      </c>
      <c r="F69" s="138">
        <f>G69+H69</f>
        <v>0</v>
      </c>
      <c r="G69" s="138"/>
      <c r="H69" s="138"/>
      <c r="I69" s="138">
        <f>SUM(J69:M69)</f>
        <v>30000</v>
      </c>
      <c r="J69" s="138">
        <v>30000</v>
      </c>
      <c r="K69" s="138"/>
      <c r="L69" s="138"/>
      <c r="M69" s="138"/>
    </row>
    <row r="70" spans="1:13" ht="21" customHeight="1">
      <c r="A70" s="52"/>
      <c r="B70" s="28"/>
      <c r="C70" s="60" t="s">
        <v>517</v>
      </c>
      <c r="D70" s="18" t="s">
        <v>518</v>
      </c>
      <c r="E70" s="175">
        <f>F70+I70</f>
        <v>65000</v>
      </c>
      <c r="F70" s="66">
        <f>G70+H70</f>
        <v>0</v>
      </c>
      <c r="G70" s="66"/>
      <c r="H70" s="66"/>
      <c r="I70" s="65">
        <f>SUM(J70:M70)</f>
        <v>65000</v>
      </c>
      <c r="J70" s="66">
        <v>65000</v>
      </c>
      <c r="K70" s="66"/>
      <c r="L70" s="66"/>
      <c r="M70" s="66"/>
    </row>
    <row r="71" spans="1:13" ht="25.5">
      <c r="A71" s="52"/>
      <c r="B71" s="58"/>
      <c r="C71" s="61" t="s">
        <v>100</v>
      </c>
      <c r="D71" s="47" t="s">
        <v>101</v>
      </c>
      <c r="E71" s="179">
        <f>F71+I71</f>
        <v>7000</v>
      </c>
      <c r="F71" s="65">
        <f>G71+H71</f>
        <v>0</v>
      </c>
      <c r="G71" s="65"/>
      <c r="H71" s="65"/>
      <c r="I71" s="65">
        <f aca="true" t="shared" si="28" ref="I71:I83">SUM(J71:M71)</f>
        <v>7000</v>
      </c>
      <c r="J71" s="65">
        <f>5000+2000</f>
        <v>7000</v>
      </c>
      <c r="K71" s="65"/>
      <c r="L71" s="65"/>
      <c r="M71" s="65"/>
    </row>
    <row r="72" spans="1:13" s="48" customFormat="1" ht="27.75" customHeight="1">
      <c r="A72" s="130"/>
      <c r="B72" s="208">
        <v>75621</v>
      </c>
      <c r="C72" s="878" t="s">
        <v>519</v>
      </c>
      <c r="D72" s="879"/>
      <c r="E72" s="180">
        <f aca="true" t="shared" si="29" ref="E72:M72">SUM(E73:E74)</f>
        <v>2192470</v>
      </c>
      <c r="F72" s="183">
        <f t="shared" si="29"/>
        <v>0</v>
      </c>
      <c r="G72" s="183">
        <f t="shared" si="29"/>
        <v>0</v>
      </c>
      <c r="H72" s="183">
        <f t="shared" si="29"/>
        <v>0</v>
      </c>
      <c r="I72" s="92">
        <f t="shared" si="28"/>
        <v>2192470</v>
      </c>
      <c r="J72" s="183">
        <f t="shared" si="29"/>
        <v>0</v>
      </c>
      <c r="K72" s="183">
        <f t="shared" si="29"/>
        <v>0</v>
      </c>
      <c r="L72" s="183">
        <f>SUM(L73:L74)</f>
        <v>0</v>
      </c>
      <c r="M72" s="183">
        <f t="shared" si="29"/>
        <v>2192470</v>
      </c>
    </row>
    <row r="73" spans="1:13" ht="21" customHeight="1">
      <c r="A73" s="52"/>
      <c r="B73" s="79"/>
      <c r="C73" s="80" t="s">
        <v>148</v>
      </c>
      <c r="D73" s="94" t="s">
        <v>520</v>
      </c>
      <c r="E73" s="176">
        <f>F73+I73</f>
        <v>2092470</v>
      </c>
      <c r="F73" s="138">
        <f>G73+H73</f>
        <v>0</v>
      </c>
      <c r="G73" s="82"/>
      <c r="H73" s="82"/>
      <c r="I73" s="138">
        <f t="shared" si="28"/>
        <v>2092470</v>
      </c>
      <c r="J73" s="82"/>
      <c r="K73" s="82"/>
      <c r="L73" s="82"/>
      <c r="M73" s="191">
        <v>2092470</v>
      </c>
    </row>
    <row r="74" spans="1:13" ht="21" customHeight="1">
      <c r="A74" s="156"/>
      <c r="B74" s="160"/>
      <c r="C74" s="157" t="s">
        <v>149</v>
      </c>
      <c r="D74" s="19" t="s">
        <v>521</v>
      </c>
      <c r="E74" s="177">
        <f>F74+I74</f>
        <v>100000</v>
      </c>
      <c r="F74" s="91">
        <f>G74+H74</f>
        <v>0</v>
      </c>
      <c r="G74" s="91"/>
      <c r="H74" s="91"/>
      <c r="I74" s="91">
        <f t="shared" si="28"/>
        <v>100000</v>
      </c>
      <c r="J74" s="91"/>
      <c r="K74" s="91"/>
      <c r="L74" s="91"/>
      <c r="M74" s="91">
        <v>100000</v>
      </c>
    </row>
    <row r="75" spans="1:14" ht="22.5" customHeight="1">
      <c r="A75" s="214">
        <v>758</v>
      </c>
      <c r="B75" s="876" t="s">
        <v>555</v>
      </c>
      <c r="C75" s="877"/>
      <c r="D75" s="895"/>
      <c r="E75" s="174">
        <f>E76+E78+E82+E80</f>
        <v>5116148</v>
      </c>
      <c r="F75" s="170">
        <f aca="true" t="shared" si="30" ref="F75:M75">F76+F78+F82+F80</f>
        <v>0</v>
      </c>
      <c r="G75" s="170">
        <f t="shared" si="30"/>
        <v>0</v>
      </c>
      <c r="H75" s="170">
        <f t="shared" si="30"/>
        <v>0</v>
      </c>
      <c r="I75" s="170">
        <f t="shared" si="30"/>
        <v>5116148</v>
      </c>
      <c r="J75" s="170">
        <f t="shared" si="30"/>
        <v>0</v>
      </c>
      <c r="K75" s="170">
        <f t="shared" si="30"/>
        <v>5095217</v>
      </c>
      <c r="L75" s="170">
        <f t="shared" si="30"/>
        <v>0</v>
      </c>
      <c r="M75" s="170">
        <f t="shared" si="30"/>
        <v>20931</v>
      </c>
      <c r="N75" s="84"/>
    </row>
    <row r="76" spans="1:13" ht="29.25" customHeight="1">
      <c r="A76" s="136"/>
      <c r="B76" s="208">
        <v>75801</v>
      </c>
      <c r="C76" s="896" t="s">
        <v>539</v>
      </c>
      <c r="D76" s="897"/>
      <c r="E76" s="174">
        <f aca="true" t="shared" si="31" ref="E76:M76">E77</f>
        <v>3610734</v>
      </c>
      <c r="F76" s="92">
        <f t="shared" si="31"/>
        <v>0</v>
      </c>
      <c r="G76" s="92">
        <f t="shared" si="31"/>
        <v>0</v>
      </c>
      <c r="H76" s="92">
        <f t="shared" si="31"/>
        <v>0</v>
      </c>
      <c r="I76" s="92">
        <f t="shared" si="28"/>
        <v>3610734</v>
      </c>
      <c r="J76" s="92">
        <f t="shared" si="31"/>
        <v>0</v>
      </c>
      <c r="K76" s="92">
        <f t="shared" si="31"/>
        <v>3610734</v>
      </c>
      <c r="L76" s="92">
        <f t="shared" si="31"/>
        <v>0</v>
      </c>
      <c r="M76" s="92">
        <f t="shared" si="31"/>
        <v>0</v>
      </c>
    </row>
    <row r="77" spans="1:13" ht="20.25" customHeight="1">
      <c r="A77" s="54"/>
      <c r="B77" s="137"/>
      <c r="C77" s="282" t="s">
        <v>540</v>
      </c>
      <c r="D77" s="283" t="s">
        <v>541</v>
      </c>
      <c r="E77" s="178">
        <f>F77+I77</f>
        <v>3610734</v>
      </c>
      <c r="F77" s="138">
        <f>G77+H77</f>
        <v>0</v>
      </c>
      <c r="G77" s="138"/>
      <c r="H77" s="138"/>
      <c r="I77" s="138">
        <f t="shared" si="28"/>
        <v>3610734</v>
      </c>
      <c r="J77" s="138"/>
      <c r="K77" s="138">
        <v>3610734</v>
      </c>
      <c r="L77" s="138"/>
      <c r="M77" s="138"/>
    </row>
    <row r="78" spans="1:13" ht="21.75" customHeight="1">
      <c r="A78" s="54"/>
      <c r="B78" s="208">
        <v>75807</v>
      </c>
      <c r="C78" s="878" t="s">
        <v>542</v>
      </c>
      <c r="D78" s="879"/>
      <c r="E78" s="174">
        <f aca="true" t="shared" si="32" ref="E78:M78">E79</f>
        <v>1468780</v>
      </c>
      <c r="F78" s="92">
        <f t="shared" si="32"/>
        <v>0</v>
      </c>
      <c r="G78" s="92">
        <f t="shared" si="32"/>
        <v>0</v>
      </c>
      <c r="H78" s="92">
        <f t="shared" si="32"/>
        <v>0</v>
      </c>
      <c r="I78" s="92">
        <f t="shared" si="28"/>
        <v>1468780</v>
      </c>
      <c r="J78" s="92">
        <f t="shared" si="32"/>
        <v>0</v>
      </c>
      <c r="K78" s="92">
        <f t="shared" si="32"/>
        <v>1468780</v>
      </c>
      <c r="L78" s="92">
        <f t="shared" si="32"/>
        <v>0</v>
      </c>
      <c r="M78" s="92">
        <f t="shared" si="32"/>
        <v>0</v>
      </c>
    </row>
    <row r="79" spans="1:13" ht="21.75" customHeight="1">
      <c r="A79" s="156"/>
      <c r="B79" s="279"/>
      <c r="C79" s="284" t="s">
        <v>540</v>
      </c>
      <c r="D79" s="285" t="s">
        <v>541</v>
      </c>
      <c r="E79" s="190">
        <f>F79+I79</f>
        <v>1468780</v>
      </c>
      <c r="F79" s="133">
        <f>G79+H79</f>
        <v>0</v>
      </c>
      <c r="G79" s="133"/>
      <c r="H79" s="133"/>
      <c r="I79" s="133">
        <f t="shared" si="28"/>
        <v>1468780</v>
      </c>
      <c r="J79" s="133"/>
      <c r="K79" s="133">
        <v>1468780</v>
      </c>
      <c r="L79" s="133"/>
      <c r="M79" s="133"/>
    </row>
    <row r="80" spans="1:13" ht="21" customHeight="1">
      <c r="A80" s="54"/>
      <c r="B80" s="208">
        <v>75814</v>
      </c>
      <c r="C80" s="878" t="s">
        <v>544</v>
      </c>
      <c r="D80" s="879"/>
      <c r="E80" s="174">
        <f aca="true" t="shared" si="33" ref="E80:M80">E81</f>
        <v>20931</v>
      </c>
      <c r="F80" s="92">
        <f t="shared" si="33"/>
        <v>0</v>
      </c>
      <c r="G80" s="92">
        <f t="shared" si="33"/>
        <v>0</v>
      </c>
      <c r="H80" s="92">
        <f t="shared" si="33"/>
        <v>0</v>
      </c>
      <c r="I80" s="92">
        <f t="shared" si="28"/>
        <v>20931</v>
      </c>
      <c r="J80" s="92">
        <f t="shared" si="33"/>
        <v>0</v>
      </c>
      <c r="K80" s="92">
        <f t="shared" si="33"/>
        <v>0</v>
      </c>
      <c r="L80" s="92">
        <f t="shared" si="33"/>
        <v>0</v>
      </c>
      <c r="M80" s="92">
        <f t="shared" si="33"/>
        <v>20931</v>
      </c>
    </row>
    <row r="81" spans="1:13" ht="21" customHeight="1">
      <c r="A81" s="54"/>
      <c r="B81" s="137"/>
      <c r="C81" s="282" t="s">
        <v>480</v>
      </c>
      <c r="D81" s="283" t="s">
        <v>481</v>
      </c>
      <c r="E81" s="178">
        <f>F81+I81</f>
        <v>20931</v>
      </c>
      <c r="F81" s="138"/>
      <c r="G81" s="138"/>
      <c r="H81" s="138"/>
      <c r="I81" s="138">
        <f t="shared" si="28"/>
        <v>20931</v>
      </c>
      <c r="J81" s="138"/>
      <c r="K81" s="138"/>
      <c r="L81" s="138"/>
      <c r="M81" s="138">
        <f>2400+10000+8531</f>
        <v>20931</v>
      </c>
    </row>
    <row r="82" spans="1:13" ht="20.25" customHeight="1">
      <c r="A82" s="54"/>
      <c r="B82" s="208">
        <v>75831</v>
      </c>
      <c r="C82" s="878" t="s">
        <v>543</v>
      </c>
      <c r="D82" s="879"/>
      <c r="E82" s="174">
        <f aca="true" t="shared" si="34" ref="E82:M82">E83</f>
        <v>15703</v>
      </c>
      <c r="F82" s="92">
        <f t="shared" si="34"/>
        <v>0</v>
      </c>
      <c r="G82" s="92">
        <f t="shared" si="34"/>
        <v>0</v>
      </c>
      <c r="H82" s="92">
        <f t="shared" si="34"/>
        <v>0</v>
      </c>
      <c r="I82" s="92">
        <f t="shared" si="28"/>
        <v>15703</v>
      </c>
      <c r="J82" s="92">
        <f t="shared" si="34"/>
        <v>0</v>
      </c>
      <c r="K82" s="92">
        <f t="shared" si="34"/>
        <v>15703</v>
      </c>
      <c r="L82" s="92">
        <f t="shared" si="34"/>
        <v>0</v>
      </c>
      <c r="M82" s="92">
        <f t="shared" si="34"/>
        <v>0</v>
      </c>
    </row>
    <row r="83" spans="1:13" ht="18.75" customHeight="1">
      <c r="A83" s="156"/>
      <c r="B83" s="132"/>
      <c r="C83" s="284" t="s">
        <v>540</v>
      </c>
      <c r="D83" s="285" t="s">
        <v>541</v>
      </c>
      <c r="E83" s="190">
        <f>F83+I83</f>
        <v>15703</v>
      </c>
      <c r="F83" s="133">
        <f>G83+H83</f>
        <v>0</v>
      </c>
      <c r="G83" s="133"/>
      <c r="H83" s="133"/>
      <c r="I83" s="133">
        <f t="shared" si="28"/>
        <v>15703</v>
      </c>
      <c r="J83" s="133"/>
      <c r="K83" s="133">
        <v>15703</v>
      </c>
      <c r="L83" s="133"/>
      <c r="M83" s="133"/>
    </row>
    <row r="84" spans="1:13" s="49" customFormat="1" ht="21.75" customHeight="1">
      <c r="A84" s="213">
        <v>801</v>
      </c>
      <c r="B84" s="876" t="s">
        <v>556</v>
      </c>
      <c r="C84" s="877"/>
      <c r="D84" s="895"/>
      <c r="E84" s="174">
        <f>E85</f>
        <v>8685</v>
      </c>
      <c r="F84" s="170">
        <f>F85</f>
        <v>0</v>
      </c>
      <c r="G84" s="170">
        <f aca="true" t="shared" si="35" ref="G84:M84">G85</f>
        <v>0</v>
      </c>
      <c r="H84" s="170">
        <f t="shared" si="35"/>
        <v>0</v>
      </c>
      <c r="I84" s="170">
        <f t="shared" si="35"/>
        <v>8685</v>
      </c>
      <c r="J84" s="170">
        <f t="shared" si="35"/>
        <v>0</v>
      </c>
      <c r="K84" s="170">
        <f t="shared" si="35"/>
        <v>8685</v>
      </c>
      <c r="L84" s="170">
        <f t="shared" si="35"/>
        <v>0</v>
      </c>
      <c r="M84" s="170">
        <f t="shared" si="35"/>
        <v>0</v>
      </c>
    </row>
    <row r="85" spans="1:13" s="48" customFormat="1" ht="17.25" customHeight="1">
      <c r="A85" s="55"/>
      <c r="B85" s="208">
        <v>80195</v>
      </c>
      <c r="C85" s="874" t="s">
        <v>476</v>
      </c>
      <c r="D85" s="875"/>
      <c r="E85" s="180">
        <f>E86</f>
        <v>8685</v>
      </c>
      <c r="F85" s="183">
        <f aca="true" t="shared" si="36" ref="F85:M85">F86</f>
        <v>0</v>
      </c>
      <c r="G85" s="183">
        <f t="shared" si="36"/>
        <v>0</v>
      </c>
      <c r="H85" s="183">
        <f t="shared" si="36"/>
        <v>0</v>
      </c>
      <c r="I85" s="183">
        <f t="shared" si="36"/>
        <v>8685</v>
      </c>
      <c r="J85" s="183">
        <f t="shared" si="36"/>
        <v>0</v>
      </c>
      <c r="K85" s="183">
        <f t="shared" si="36"/>
        <v>8685</v>
      </c>
      <c r="L85" s="183">
        <f t="shared" si="36"/>
        <v>0</v>
      </c>
      <c r="M85" s="183">
        <f t="shared" si="36"/>
        <v>0</v>
      </c>
    </row>
    <row r="86" spans="1:13" ht="25.5">
      <c r="A86" s="156"/>
      <c r="B86" s="132"/>
      <c r="C86" s="159" t="s">
        <v>557</v>
      </c>
      <c r="D86" s="189" t="s">
        <v>558</v>
      </c>
      <c r="E86" s="190">
        <f>F86+I86</f>
        <v>8685</v>
      </c>
      <c r="F86" s="133"/>
      <c r="G86" s="133"/>
      <c r="H86" s="133"/>
      <c r="I86" s="133">
        <f>SUM(J86:M86)</f>
        <v>8685</v>
      </c>
      <c r="J86" s="133"/>
      <c r="K86" s="133">
        <v>8685</v>
      </c>
      <c r="L86" s="133"/>
      <c r="M86" s="133"/>
    </row>
    <row r="87" spans="1:13" ht="34.5" customHeight="1">
      <c r="A87" s="69"/>
      <c r="B87" s="3"/>
      <c r="C87" s="64"/>
      <c r="D87" s="4"/>
      <c r="E87" s="192"/>
      <c r="F87" s="76"/>
      <c r="G87" s="76"/>
      <c r="H87" s="76"/>
      <c r="I87" s="76"/>
      <c r="J87" s="76"/>
      <c r="K87" s="76"/>
      <c r="L87" s="76"/>
      <c r="M87" s="76"/>
    </row>
    <row r="88" spans="1:13" s="40" customFormat="1" ht="8.25">
      <c r="A88" s="70">
        <v>1</v>
      </c>
      <c r="B88" s="70">
        <v>2</v>
      </c>
      <c r="C88" s="70">
        <v>3</v>
      </c>
      <c r="D88" s="70">
        <v>4</v>
      </c>
      <c r="E88" s="718">
        <v>5</v>
      </c>
      <c r="F88" s="70">
        <v>6</v>
      </c>
      <c r="G88" s="70">
        <v>7</v>
      </c>
      <c r="H88" s="70">
        <v>8</v>
      </c>
      <c r="I88" s="70">
        <v>9</v>
      </c>
      <c r="J88" s="70">
        <v>10</v>
      </c>
      <c r="K88" s="70">
        <v>11</v>
      </c>
      <c r="L88" s="70">
        <v>12</v>
      </c>
      <c r="M88" s="70">
        <v>13</v>
      </c>
    </row>
    <row r="89" spans="1:13" s="49" customFormat="1" ht="22.5" customHeight="1">
      <c r="A89" s="169">
        <v>852</v>
      </c>
      <c r="B89" s="884" t="s">
        <v>522</v>
      </c>
      <c r="C89" s="885"/>
      <c r="D89" s="886"/>
      <c r="E89" s="174">
        <f>E90+E93+E95+E98+E102+E100</f>
        <v>2464000</v>
      </c>
      <c r="F89" s="170">
        <f>F90+F93+F95+F98+F102</f>
        <v>0</v>
      </c>
      <c r="G89" s="170">
        <f>G90+G93+G95+G98+G102</f>
        <v>0</v>
      </c>
      <c r="H89" s="170">
        <f>H90+H93+H95+H98+H102</f>
        <v>0</v>
      </c>
      <c r="I89" s="170">
        <f>I90+I93+I95+I98+I102+I100</f>
        <v>2464000</v>
      </c>
      <c r="J89" s="170">
        <f>J90+J93+J95+J98+J102+J100</f>
        <v>0</v>
      </c>
      <c r="K89" s="170">
        <f>K90+K93+K95+K98+K102+K100</f>
        <v>509000</v>
      </c>
      <c r="L89" s="170">
        <f>L90+L93+L95+L98+L102+L100</f>
        <v>1932000</v>
      </c>
      <c r="M89" s="170">
        <f>M90+M93+M95+M98+M102+M100</f>
        <v>23000</v>
      </c>
    </row>
    <row r="90" spans="1:13" s="48" customFormat="1" ht="30" customHeight="1">
      <c r="A90" s="130"/>
      <c r="B90" s="139">
        <v>85212</v>
      </c>
      <c r="C90" s="887" t="s">
        <v>550</v>
      </c>
      <c r="D90" s="888"/>
      <c r="E90" s="180">
        <f aca="true" t="shared" si="37" ref="E90:M90">SUM(E91:E92)</f>
        <v>1742000</v>
      </c>
      <c r="F90" s="183">
        <f t="shared" si="37"/>
        <v>0</v>
      </c>
      <c r="G90" s="183">
        <f t="shared" si="37"/>
        <v>0</v>
      </c>
      <c r="H90" s="183">
        <f t="shared" si="37"/>
        <v>0</v>
      </c>
      <c r="I90" s="183">
        <f t="shared" si="37"/>
        <v>1742000</v>
      </c>
      <c r="J90" s="183">
        <f t="shared" si="37"/>
        <v>0</v>
      </c>
      <c r="K90" s="183">
        <f t="shared" si="37"/>
        <v>0</v>
      </c>
      <c r="L90" s="183">
        <f t="shared" si="37"/>
        <v>1737000</v>
      </c>
      <c r="M90" s="183">
        <f t="shared" si="37"/>
        <v>5000</v>
      </c>
    </row>
    <row r="91" spans="1:13" ht="30" customHeight="1">
      <c r="A91" s="52"/>
      <c r="B91" s="79"/>
      <c r="C91" s="80" t="s">
        <v>532</v>
      </c>
      <c r="D91" s="187" t="s">
        <v>264</v>
      </c>
      <c r="E91" s="176">
        <f>F91+I91</f>
        <v>1737000</v>
      </c>
      <c r="F91" s="138">
        <f>G91+H91</f>
        <v>0</v>
      </c>
      <c r="G91" s="82"/>
      <c r="H91" s="82"/>
      <c r="I91" s="82">
        <f>SUM(J91:M91)</f>
        <v>1737000</v>
      </c>
      <c r="J91" s="82"/>
      <c r="K91" s="82"/>
      <c r="L91" s="82">
        <v>1737000</v>
      </c>
      <c r="M91" s="82"/>
    </row>
    <row r="92" spans="1:13" ht="25.5">
      <c r="A92" s="52"/>
      <c r="B92" s="58"/>
      <c r="C92" s="61" t="s">
        <v>537</v>
      </c>
      <c r="D92" s="162" t="s">
        <v>538</v>
      </c>
      <c r="E92" s="179">
        <f>F92+I92</f>
        <v>5000</v>
      </c>
      <c r="F92" s="65">
        <f>G92+H92</f>
        <v>0</v>
      </c>
      <c r="G92" s="65"/>
      <c r="H92" s="65"/>
      <c r="I92" s="65">
        <f>SUM(J92:M92)</f>
        <v>5000</v>
      </c>
      <c r="J92" s="65"/>
      <c r="K92" s="65"/>
      <c r="L92" s="65"/>
      <c r="M92" s="65">
        <v>5000</v>
      </c>
    </row>
    <row r="93" spans="1:13" s="48" customFormat="1" ht="30.75" customHeight="1">
      <c r="A93" s="55"/>
      <c r="B93" s="139">
        <v>85213</v>
      </c>
      <c r="C93" s="887" t="s">
        <v>551</v>
      </c>
      <c r="D93" s="888"/>
      <c r="E93" s="180">
        <f aca="true" t="shared" si="38" ref="E93:M93">E94</f>
        <v>17000</v>
      </c>
      <c r="F93" s="183">
        <f t="shared" si="38"/>
        <v>0</v>
      </c>
      <c r="G93" s="183">
        <f t="shared" si="38"/>
        <v>0</v>
      </c>
      <c r="H93" s="183">
        <f t="shared" si="38"/>
        <v>0</v>
      </c>
      <c r="I93" s="183">
        <f t="shared" si="38"/>
        <v>17000</v>
      </c>
      <c r="J93" s="183">
        <f t="shared" si="38"/>
        <v>0</v>
      </c>
      <c r="K93" s="183">
        <f t="shared" si="38"/>
        <v>0</v>
      </c>
      <c r="L93" s="183">
        <f t="shared" si="38"/>
        <v>17000</v>
      </c>
      <c r="M93" s="183">
        <f t="shared" si="38"/>
        <v>0</v>
      </c>
    </row>
    <row r="94" spans="1:13" ht="27.75" customHeight="1">
      <c r="A94" s="52"/>
      <c r="B94" s="132"/>
      <c r="C94" s="159" t="s">
        <v>532</v>
      </c>
      <c r="D94" s="193" t="s">
        <v>264</v>
      </c>
      <c r="E94" s="190">
        <f>F94+I94</f>
        <v>17000</v>
      </c>
      <c r="F94" s="133">
        <f>G94+H94</f>
        <v>0</v>
      </c>
      <c r="G94" s="133"/>
      <c r="H94" s="133"/>
      <c r="I94" s="133">
        <f>SUM(J94:M94)</f>
        <v>17000</v>
      </c>
      <c r="J94" s="133"/>
      <c r="K94" s="133"/>
      <c r="L94" s="133">
        <v>17000</v>
      </c>
      <c r="M94" s="133"/>
    </row>
    <row r="95" spans="1:13" s="48" customFormat="1" ht="20.25" customHeight="1">
      <c r="A95" s="77"/>
      <c r="B95" s="139">
        <v>85214</v>
      </c>
      <c r="C95" s="887" t="s">
        <v>552</v>
      </c>
      <c r="D95" s="888"/>
      <c r="E95" s="180">
        <f aca="true" t="shared" si="39" ref="E95:M95">SUM(E96:E97)</f>
        <v>467000</v>
      </c>
      <c r="F95" s="183">
        <f t="shared" si="39"/>
        <v>0</v>
      </c>
      <c r="G95" s="183">
        <f t="shared" si="39"/>
        <v>0</v>
      </c>
      <c r="H95" s="183">
        <f t="shared" si="39"/>
        <v>0</v>
      </c>
      <c r="I95" s="183">
        <f t="shared" si="39"/>
        <v>467000</v>
      </c>
      <c r="J95" s="183">
        <f t="shared" si="39"/>
        <v>0</v>
      </c>
      <c r="K95" s="183">
        <f t="shared" si="39"/>
        <v>289000</v>
      </c>
      <c r="L95" s="183">
        <f t="shared" si="39"/>
        <v>178000</v>
      </c>
      <c r="M95" s="183">
        <f t="shared" si="39"/>
        <v>0</v>
      </c>
    </row>
    <row r="96" spans="1:13" ht="29.25" customHeight="1">
      <c r="A96" s="52"/>
      <c r="B96" s="28"/>
      <c r="C96" s="60" t="s">
        <v>532</v>
      </c>
      <c r="D96" s="162" t="s">
        <v>264</v>
      </c>
      <c r="E96" s="175">
        <f>F96+I96</f>
        <v>178000</v>
      </c>
      <c r="F96" s="65">
        <f>G96+H96</f>
        <v>0</v>
      </c>
      <c r="G96" s="66"/>
      <c r="H96" s="66"/>
      <c r="I96" s="66">
        <f>SUM(J96:M96)</f>
        <v>178000</v>
      </c>
      <c r="J96" s="66"/>
      <c r="K96" s="66"/>
      <c r="L96" s="66">
        <v>178000</v>
      </c>
      <c r="M96" s="66"/>
    </row>
    <row r="97" spans="1:13" ht="25.5">
      <c r="A97" s="156"/>
      <c r="B97" s="160"/>
      <c r="C97" s="157" t="s">
        <v>557</v>
      </c>
      <c r="D97" s="228" t="s">
        <v>558</v>
      </c>
      <c r="E97" s="177">
        <f>F97+I97</f>
        <v>289000</v>
      </c>
      <c r="F97" s="91">
        <f>G97+H97</f>
        <v>0</v>
      </c>
      <c r="G97" s="91"/>
      <c r="H97" s="91"/>
      <c r="I97" s="91">
        <f>SUM(J97:M97)</f>
        <v>289000</v>
      </c>
      <c r="J97" s="91"/>
      <c r="K97" s="91">
        <v>289000</v>
      </c>
      <c r="L97" s="91"/>
      <c r="M97" s="91"/>
    </row>
    <row r="98" spans="1:13" s="48" customFormat="1" ht="20.25" customHeight="1">
      <c r="A98" s="55"/>
      <c r="B98" s="139">
        <v>85219</v>
      </c>
      <c r="C98" s="894" t="s">
        <v>523</v>
      </c>
      <c r="D98" s="889"/>
      <c r="E98" s="180">
        <f aca="true" t="shared" si="40" ref="E98:M98">E99</f>
        <v>135000</v>
      </c>
      <c r="F98" s="183">
        <f t="shared" si="40"/>
        <v>0</v>
      </c>
      <c r="G98" s="183">
        <f t="shared" si="40"/>
        <v>0</v>
      </c>
      <c r="H98" s="183">
        <f t="shared" si="40"/>
        <v>0</v>
      </c>
      <c r="I98" s="183">
        <f t="shared" si="40"/>
        <v>135000</v>
      </c>
      <c r="J98" s="183">
        <f t="shared" si="40"/>
        <v>0</v>
      </c>
      <c r="K98" s="183">
        <f t="shared" si="40"/>
        <v>135000</v>
      </c>
      <c r="L98" s="183">
        <f t="shared" si="40"/>
        <v>0</v>
      </c>
      <c r="M98" s="183">
        <f t="shared" si="40"/>
        <v>0</v>
      </c>
    </row>
    <row r="99" spans="1:13" ht="25.5">
      <c r="A99" s="52"/>
      <c r="B99" s="184"/>
      <c r="C99" s="185" t="s">
        <v>557</v>
      </c>
      <c r="D99" s="186" t="s">
        <v>558</v>
      </c>
      <c r="E99" s="178">
        <f>F99+I99</f>
        <v>135000</v>
      </c>
      <c r="F99" s="138">
        <f>G99+H99</f>
        <v>0</v>
      </c>
      <c r="G99" s="138"/>
      <c r="H99" s="138"/>
      <c r="I99" s="138">
        <f>SUM(J99:M99)</f>
        <v>135000</v>
      </c>
      <c r="J99" s="138"/>
      <c r="K99" s="138">
        <v>135000</v>
      </c>
      <c r="L99" s="138"/>
      <c r="M99" s="138"/>
    </row>
    <row r="100" spans="1:13" s="48" customFormat="1" ht="22.5" customHeight="1">
      <c r="A100" s="55"/>
      <c r="B100" s="139">
        <v>85228</v>
      </c>
      <c r="C100" s="892" t="s">
        <v>524</v>
      </c>
      <c r="D100" s="893"/>
      <c r="E100" s="180">
        <f aca="true" t="shared" si="41" ref="E100:L100">E101</f>
        <v>18000</v>
      </c>
      <c r="F100" s="183">
        <f t="shared" si="41"/>
        <v>0</v>
      </c>
      <c r="G100" s="183">
        <f t="shared" si="41"/>
        <v>0</v>
      </c>
      <c r="H100" s="183">
        <f t="shared" si="41"/>
        <v>0</v>
      </c>
      <c r="I100" s="183">
        <f t="shared" si="41"/>
        <v>18000</v>
      </c>
      <c r="J100" s="183">
        <f t="shared" si="41"/>
        <v>0</v>
      </c>
      <c r="K100" s="183">
        <f t="shared" si="41"/>
        <v>0</v>
      </c>
      <c r="L100" s="183">
        <f t="shared" si="41"/>
        <v>0</v>
      </c>
      <c r="M100" s="183">
        <f>M101</f>
        <v>18000</v>
      </c>
    </row>
    <row r="101" spans="1:13" ht="18.75" customHeight="1">
      <c r="A101" s="156"/>
      <c r="B101" s="132"/>
      <c r="C101" s="159" t="s">
        <v>477</v>
      </c>
      <c r="D101" s="217" t="s">
        <v>525</v>
      </c>
      <c r="E101" s="190">
        <f>F101+I101</f>
        <v>18000</v>
      </c>
      <c r="F101" s="133">
        <f>G101+H101</f>
        <v>0</v>
      </c>
      <c r="G101" s="133"/>
      <c r="H101" s="133"/>
      <c r="I101" s="133">
        <f>SUM(J101:M101)</f>
        <v>18000</v>
      </c>
      <c r="J101" s="133"/>
      <c r="K101" s="133"/>
      <c r="L101" s="133"/>
      <c r="M101" s="133">
        <v>18000</v>
      </c>
    </row>
    <row r="102" spans="1:13" s="48" customFormat="1" ht="20.25" customHeight="1">
      <c r="A102" s="130"/>
      <c r="B102" s="139">
        <v>85295</v>
      </c>
      <c r="C102" s="892" t="s">
        <v>476</v>
      </c>
      <c r="D102" s="893"/>
      <c r="E102" s="180">
        <f aca="true" t="shared" si="42" ref="E102:M102">E103</f>
        <v>85000</v>
      </c>
      <c r="F102" s="183">
        <f t="shared" si="42"/>
        <v>0</v>
      </c>
      <c r="G102" s="183">
        <f t="shared" si="42"/>
        <v>0</v>
      </c>
      <c r="H102" s="183">
        <f t="shared" si="42"/>
        <v>0</v>
      </c>
      <c r="I102" s="183">
        <f t="shared" si="42"/>
        <v>85000</v>
      </c>
      <c r="J102" s="183">
        <f t="shared" si="42"/>
        <v>0</v>
      </c>
      <c r="K102" s="183">
        <f t="shared" si="42"/>
        <v>85000</v>
      </c>
      <c r="L102" s="183">
        <f t="shared" si="42"/>
        <v>0</v>
      </c>
      <c r="M102" s="183">
        <f t="shared" si="42"/>
        <v>0</v>
      </c>
    </row>
    <row r="103" spans="1:13" ht="25.5">
      <c r="A103" s="156"/>
      <c r="B103" s="132"/>
      <c r="C103" s="159" t="s">
        <v>557</v>
      </c>
      <c r="D103" s="189" t="s">
        <v>558</v>
      </c>
      <c r="E103" s="190">
        <f>F103+I103</f>
        <v>85000</v>
      </c>
      <c r="F103" s="133">
        <f>G103+H103</f>
        <v>0</v>
      </c>
      <c r="G103" s="133"/>
      <c r="H103" s="133"/>
      <c r="I103" s="133">
        <f>SUM(J103:M103)</f>
        <v>85000</v>
      </c>
      <c r="J103" s="133"/>
      <c r="K103" s="133">
        <v>85000</v>
      </c>
      <c r="L103" s="133"/>
      <c r="M103" s="133"/>
    </row>
    <row r="104" spans="1:13" s="63" customFormat="1" ht="19.5" customHeight="1">
      <c r="A104" s="171">
        <v>900</v>
      </c>
      <c r="B104" s="890" t="s">
        <v>562</v>
      </c>
      <c r="C104" s="891"/>
      <c r="D104" s="883"/>
      <c r="E104" s="180">
        <f>E105</f>
        <v>23700</v>
      </c>
      <c r="F104" s="172">
        <f>F105</f>
        <v>23700</v>
      </c>
      <c r="G104" s="172">
        <f aca="true" t="shared" si="43" ref="G104:M104">G105</f>
        <v>23700</v>
      </c>
      <c r="H104" s="172">
        <f t="shared" si="43"/>
        <v>0</v>
      </c>
      <c r="I104" s="172">
        <f t="shared" si="43"/>
        <v>0</v>
      </c>
      <c r="J104" s="172">
        <f t="shared" si="43"/>
        <v>0</v>
      </c>
      <c r="K104" s="172">
        <f t="shared" si="43"/>
        <v>0</v>
      </c>
      <c r="L104" s="172">
        <f t="shared" si="43"/>
        <v>0</v>
      </c>
      <c r="M104" s="172">
        <f t="shared" si="43"/>
        <v>0</v>
      </c>
    </row>
    <row r="105" spans="1:13" ht="20.25" customHeight="1">
      <c r="A105" s="136"/>
      <c r="B105" s="194">
        <v>90008</v>
      </c>
      <c r="C105" s="892" t="s">
        <v>282</v>
      </c>
      <c r="D105" s="893"/>
      <c r="E105" s="174">
        <f>E106</f>
        <v>23700</v>
      </c>
      <c r="F105" s="92">
        <f aca="true" t="shared" si="44" ref="F105:M105">F106</f>
        <v>23700</v>
      </c>
      <c r="G105" s="92">
        <f t="shared" si="44"/>
        <v>23700</v>
      </c>
      <c r="H105" s="92">
        <f t="shared" si="44"/>
        <v>0</v>
      </c>
      <c r="I105" s="92">
        <f t="shared" si="44"/>
        <v>0</v>
      </c>
      <c r="J105" s="92">
        <f t="shared" si="44"/>
        <v>0</v>
      </c>
      <c r="K105" s="92">
        <f t="shared" si="44"/>
        <v>0</v>
      </c>
      <c r="L105" s="92">
        <f t="shared" si="44"/>
        <v>0</v>
      </c>
      <c r="M105" s="92">
        <f t="shared" si="44"/>
        <v>0</v>
      </c>
    </row>
    <row r="106" spans="1:13" ht="30.75" customHeight="1">
      <c r="A106" s="54"/>
      <c r="B106" s="184"/>
      <c r="C106" s="80" t="s">
        <v>530</v>
      </c>
      <c r="D106" s="193" t="s">
        <v>528</v>
      </c>
      <c r="E106" s="176">
        <f>F106+I106</f>
        <v>23700</v>
      </c>
      <c r="F106" s="138">
        <f>G106</f>
        <v>23700</v>
      </c>
      <c r="G106" s="138">
        <f>7900+15800</f>
        <v>23700</v>
      </c>
      <c r="H106" s="138"/>
      <c r="I106" s="82">
        <f>SUM(J106:M106)</f>
        <v>0</v>
      </c>
      <c r="J106" s="138"/>
      <c r="K106" s="138"/>
      <c r="L106" s="138"/>
      <c r="M106" s="138"/>
    </row>
    <row r="107" spans="1:13" s="63" customFormat="1" ht="20.25" customHeight="1">
      <c r="A107" s="171">
        <v>921</v>
      </c>
      <c r="B107" s="890" t="s">
        <v>563</v>
      </c>
      <c r="C107" s="891"/>
      <c r="D107" s="883"/>
      <c r="E107" s="180">
        <f>E108</f>
        <v>304000</v>
      </c>
      <c r="F107" s="172">
        <f>F108</f>
        <v>304000</v>
      </c>
      <c r="G107" s="172">
        <f aca="true" t="shared" si="45" ref="G107:M107">G108</f>
        <v>304000</v>
      </c>
      <c r="H107" s="172">
        <f t="shared" si="45"/>
        <v>0</v>
      </c>
      <c r="I107" s="172">
        <f t="shared" si="45"/>
        <v>0</v>
      </c>
      <c r="J107" s="172">
        <f t="shared" si="45"/>
        <v>0</v>
      </c>
      <c r="K107" s="172">
        <f t="shared" si="45"/>
        <v>0</v>
      </c>
      <c r="L107" s="172">
        <f t="shared" si="45"/>
        <v>0</v>
      </c>
      <c r="M107" s="172">
        <f t="shared" si="45"/>
        <v>0</v>
      </c>
    </row>
    <row r="108" spans="1:13" ht="21.75" customHeight="1">
      <c r="A108" s="136"/>
      <c r="B108" s="279">
        <v>92116</v>
      </c>
      <c r="C108" s="159"/>
      <c r="D108" s="286" t="s">
        <v>566</v>
      </c>
      <c r="E108" s="190">
        <f aca="true" t="shared" si="46" ref="E108:M108">SUM(E109:E109)</f>
        <v>304000</v>
      </c>
      <c r="F108" s="133">
        <f t="shared" si="46"/>
        <v>304000</v>
      </c>
      <c r="G108" s="133">
        <f t="shared" si="46"/>
        <v>304000</v>
      </c>
      <c r="H108" s="133">
        <f t="shared" si="46"/>
        <v>0</v>
      </c>
      <c r="I108" s="133">
        <f t="shared" si="46"/>
        <v>0</v>
      </c>
      <c r="J108" s="133">
        <f t="shared" si="46"/>
        <v>0</v>
      </c>
      <c r="K108" s="133">
        <f t="shared" si="46"/>
        <v>0</v>
      </c>
      <c r="L108" s="133">
        <f t="shared" si="46"/>
        <v>0</v>
      </c>
      <c r="M108" s="133">
        <f t="shared" si="46"/>
        <v>0</v>
      </c>
    </row>
    <row r="109" spans="1:13" ht="26.25" thickBot="1">
      <c r="A109" s="136"/>
      <c r="B109" s="184"/>
      <c r="C109" s="184">
        <v>6298</v>
      </c>
      <c r="D109" s="187" t="s">
        <v>529</v>
      </c>
      <c r="E109" s="176">
        <f>F109+I109</f>
        <v>304000</v>
      </c>
      <c r="F109" s="82">
        <f>G109+H109</f>
        <v>304000</v>
      </c>
      <c r="G109" s="138">
        <v>304000</v>
      </c>
      <c r="H109" s="138"/>
      <c r="I109" s="82">
        <f>SUM(J109:M109)</f>
        <v>0</v>
      </c>
      <c r="J109" s="138"/>
      <c r="K109" s="138"/>
      <c r="L109" s="138"/>
      <c r="M109" s="138"/>
    </row>
    <row r="110" spans="1:14" s="43" customFormat="1" ht="26.25" customHeight="1" thickBot="1">
      <c r="A110" s="902" t="s">
        <v>357</v>
      </c>
      <c r="B110" s="903"/>
      <c r="C110" s="903"/>
      <c r="D110" s="904"/>
      <c r="E110" s="173">
        <f aca="true" t="shared" si="47" ref="E110:L110">E5+E11+E14+E17+E23+E31+E38+E41+E44+E75+E89+E104+E107+E84</f>
        <v>16017077</v>
      </c>
      <c r="F110" s="173">
        <f t="shared" si="47"/>
        <v>2623504</v>
      </c>
      <c r="G110" s="173">
        <f t="shared" si="47"/>
        <v>1362704</v>
      </c>
      <c r="H110" s="173">
        <f t="shared" si="47"/>
        <v>1260800</v>
      </c>
      <c r="I110" s="173">
        <f t="shared" si="47"/>
        <v>13393573</v>
      </c>
      <c r="J110" s="173">
        <f t="shared" si="47"/>
        <v>2505730</v>
      </c>
      <c r="K110" s="173">
        <f t="shared" si="47"/>
        <v>5789152</v>
      </c>
      <c r="L110" s="173">
        <f t="shared" si="47"/>
        <v>2003122</v>
      </c>
      <c r="M110" s="173">
        <f>M5+M11+M14+M17+M23+M31+M38+M41+M44+M75+M89+M104+M107+M84</f>
        <v>3095569</v>
      </c>
      <c r="N110" s="83"/>
    </row>
    <row r="111" spans="2:14" ht="12.75">
      <c r="B111" s="2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84"/>
    </row>
    <row r="112" spans="1:14" ht="12.75">
      <c r="A112" s="56"/>
      <c r="B112" s="2"/>
      <c r="C112" s="2"/>
      <c r="D112" s="280" t="s">
        <v>94</v>
      </c>
      <c r="E112" s="281"/>
      <c r="F112" s="339"/>
      <c r="G112" s="342"/>
      <c r="H112" s="342"/>
      <c r="I112" s="788"/>
      <c r="J112" s="342"/>
      <c r="K112" s="342"/>
      <c r="L112" s="342"/>
      <c r="M112" s="342"/>
      <c r="N112" s="401"/>
    </row>
    <row r="113" spans="2:13" ht="12.75">
      <c r="B113" s="59"/>
      <c r="C113" s="2"/>
      <c r="D113" s="1"/>
      <c r="E113" s="67"/>
      <c r="F113" s="1"/>
      <c r="G113" s="1"/>
      <c r="H113" s="1"/>
      <c r="I113" s="1"/>
      <c r="J113" s="1"/>
      <c r="K113" s="67"/>
      <c r="L113" s="342"/>
      <c r="M113" s="1"/>
    </row>
    <row r="114" spans="2:13" ht="12.75">
      <c r="B114" s="2"/>
      <c r="C114" s="2"/>
      <c r="D114" s="1"/>
      <c r="E114" s="67">
        <v>18000</v>
      </c>
      <c r="F114" s="1"/>
      <c r="G114" s="1"/>
      <c r="H114" s="1"/>
      <c r="I114" s="1"/>
      <c r="J114" s="1"/>
      <c r="K114" s="1"/>
      <c r="L114" s="342"/>
      <c r="M114" s="1"/>
    </row>
    <row r="115" spans="2:13" ht="12.75">
      <c r="B115" s="2"/>
      <c r="C115" s="2"/>
      <c r="D115" s="1"/>
      <c r="E115" s="67">
        <f>E110-E114</f>
        <v>15999077</v>
      </c>
      <c r="F115" s="1"/>
      <c r="G115" s="1"/>
      <c r="H115" s="1"/>
      <c r="I115" s="67"/>
      <c r="J115" s="1"/>
      <c r="K115" s="1"/>
      <c r="L115" s="1"/>
      <c r="M115" s="1"/>
    </row>
    <row r="116" spans="2:13" ht="12.75">
      <c r="B116" s="2"/>
      <c r="C116" s="2"/>
      <c r="D116" s="1"/>
      <c r="E116" s="1"/>
      <c r="F116" s="1"/>
      <c r="G116" s="1"/>
      <c r="H116" s="1"/>
      <c r="I116" s="67"/>
      <c r="J116" s="1"/>
      <c r="K116" s="1"/>
      <c r="L116" s="1"/>
      <c r="M116" s="1"/>
    </row>
    <row r="117" spans="2:13" ht="12.75">
      <c r="B117" s="2"/>
      <c r="C117" s="2"/>
      <c r="D117" s="1"/>
      <c r="E117" s="1"/>
      <c r="F117" s="1"/>
      <c r="G117" s="67"/>
      <c r="H117" s="1"/>
      <c r="I117" s="1"/>
      <c r="J117" s="1"/>
      <c r="K117" s="1"/>
      <c r="L117" s="1"/>
      <c r="M117" s="1"/>
    </row>
    <row r="118" spans="2:13" ht="12.75">
      <c r="B118" s="2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2.75">
      <c r="B119" s="2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2.75">
      <c r="B120" s="2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2.75">
      <c r="B121" s="2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2.75">
      <c r="B122" s="2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2.75">
      <c r="B123" s="2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2.75">
      <c r="B124" s="2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2.75">
      <c r="B125" s="2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2.75">
      <c r="B126" s="2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ht="12.75">
      <c r="B127" s="2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ht="12.75">
      <c r="B128" s="2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ht="12.75">
      <c r="B129" s="2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ht="12.75">
      <c r="B130" s="2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 ht="12.75">
      <c r="B131" s="2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 ht="12.75">
      <c r="B132" s="2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 ht="12.75">
      <c r="B133" s="2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 ht="12.75">
      <c r="B134" s="2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 ht="12.75">
      <c r="B135" s="2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 ht="12.75">
      <c r="B136" s="2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 ht="12.75">
      <c r="B137" s="2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 ht="12.75">
      <c r="B138" s="2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 ht="12.75">
      <c r="B139" s="2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 ht="12.75">
      <c r="B140" s="2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 ht="12.75">
      <c r="B141" s="2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 ht="12.75">
      <c r="B142" s="2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 ht="12.75">
      <c r="B143" s="2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 ht="12.75">
      <c r="B144" s="2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</row>
  </sheetData>
  <mergeCells count="50">
    <mergeCell ref="B1:E1"/>
    <mergeCell ref="A2:A3"/>
    <mergeCell ref="B2:B3"/>
    <mergeCell ref="C2:C3"/>
    <mergeCell ref="D2:D3"/>
    <mergeCell ref="E2:E3"/>
    <mergeCell ref="F2:F3"/>
    <mergeCell ref="I2:I3"/>
    <mergeCell ref="G2:H2"/>
    <mergeCell ref="A110:D110"/>
    <mergeCell ref="B107:D107"/>
    <mergeCell ref="C20:D20"/>
    <mergeCell ref="B75:D75"/>
    <mergeCell ref="C76:D76"/>
    <mergeCell ref="C78:D78"/>
    <mergeCell ref="C80:D80"/>
    <mergeCell ref="B5:D5"/>
    <mergeCell ref="C6:D6"/>
    <mergeCell ref="C9:D9"/>
    <mergeCell ref="B17:D17"/>
    <mergeCell ref="B14:D14"/>
    <mergeCell ref="C15:D15"/>
    <mergeCell ref="B11:D11"/>
    <mergeCell ref="C12:D12"/>
    <mergeCell ref="C18:D18"/>
    <mergeCell ref="B23:D23"/>
    <mergeCell ref="C24:D24"/>
    <mergeCell ref="B38:D38"/>
    <mergeCell ref="B31:D31"/>
    <mergeCell ref="C32:D32"/>
    <mergeCell ref="C35:D35"/>
    <mergeCell ref="B44:D44"/>
    <mergeCell ref="C39:D39"/>
    <mergeCell ref="C82:D82"/>
    <mergeCell ref="C85:D85"/>
    <mergeCell ref="B84:D84"/>
    <mergeCell ref="C72:D72"/>
    <mergeCell ref="C68:D68"/>
    <mergeCell ref="C45:D45"/>
    <mergeCell ref="C47:D47"/>
    <mergeCell ref="C57:D57"/>
    <mergeCell ref="B89:D89"/>
    <mergeCell ref="C90:D90"/>
    <mergeCell ref="C93:D93"/>
    <mergeCell ref="C95:D95"/>
    <mergeCell ref="C100:D100"/>
    <mergeCell ref="C98:D98"/>
    <mergeCell ref="C102:D102"/>
    <mergeCell ref="C105:D105"/>
    <mergeCell ref="B104:D104"/>
  </mergeCells>
  <printOptions horizontalCentered="1"/>
  <pageMargins left="0.1968503937007874" right="0.1968503937007874" top="0.68" bottom="0.4724409448818898" header="0.42" footer="0.31496062992125984"/>
  <pageSetup horizontalDpi="300" verticalDpi="300" orientation="landscape" paperSize="9" scale="70" r:id="rId1"/>
  <headerFooter alignWithMargins="0">
    <oddHeader>&amp;R&amp;"Arial CE,Pogrubiony"Załącznik Nr &amp;A&amp;"Arial CE,Standardowy"
do Uchwały Rady Gminy Miłkowice Nr XXXV/181/2009
 z dnia 30 stycznia 2009 roku</oddHeader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Z16"/>
  <sheetViews>
    <sheetView showGridLines="0" workbookViewId="0" topLeftCell="A1">
      <selection activeCell="F3" sqref="F3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31.25390625" style="1" customWidth="1"/>
    <col min="4" max="4" width="8.875" style="1" customWidth="1"/>
    <col min="5" max="5" width="10.25390625" style="1" customWidth="1"/>
    <col min="6" max="6" width="10.875" style="1" customWidth="1"/>
    <col min="7" max="7" width="15.75390625" style="0" customWidth="1"/>
    <col min="8" max="8" width="10.375" style="0" customWidth="1"/>
    <col min="9" max="9" width="11.75390625" style="0" customWidth="1"/>
    <col min="79" max="16384" width="9.125" style="1" customWidth="1"/>
  </cols>
  <sheetData>
    <row r="1" spans="1:9" ht="45" customHeight="1">
      <c r="A1" s="1120" t="s">
        <v>219</v>
      </c>
      <c r="B1" s="1120"/>
      <c r="C1" s="1120"/>
      <c r="D1" s="1120"/>
      <c r="E1" s="1120"/>
      <c r="F1" s="1120"/>
      <c r="G1" s="1120"/>
      <c r="H1" s="1120"/>
      <c r="I1" s="1120"/>
    </row>
    <row r="3" ht="12.75">
      <c r="I3" s="42" t="s">
        <v>321</v>
      </c>
    </row>
    <row r="4" spans="1:78" ht="20.25" customHeight="1">
      <c r="A4" s="1108" t="s">
        <v>285</v>
      </c>
      <c r="B4" s="1121" t="s">
        <v>286</v>
      </c>
      <c r="C4" s="1121" t="s">
        <v>283</v>
      </c>
      <c r="D4" s="1119" t="s">
        <v>48</v>
      </c>
      <c r="E4" s="1119" t="s">
        <v>37</v>
      </c>
      <c r="F4" s="1119" t="s">
        <v>343</v>
      </c>
      <c r="G4" s="1119"/>
      <c r="H4" s="1119"/>
      <c r="I4" s="1119"/>
      <c r="BW4" s="1"/>
      <c r="BX4" s="1"/>
      <c r="BY4" s="1"/>
      <c r="BZ4" s="1"/>
    </row>
    <row r="5" spans="1:78" ht="18" customHeight="1">
      <c r="A5" s="1108"/>
      <c r="B5" s="1122"/>
      <c r="C5" s="1122"/>
      <c r="D5" s="1108"/>
      <c r="E5" s="1119"/>
      <c r="F5" s="1119" t="s">
        <v>354</v>
      </c>
      <c r="G5" s="1119"/>
      <c r="H5" s="1119"/>
      <c r="I5" s="1119" t="s">
        <v>355</v>
      </c>
      <c r="BW5" s="1"/>
      <c r="BX5" s="1"/>
      <c r="BY5" s="1"/>
      <c r="BZ5" s="1"/>
    </row>
    <row r="6" spans="1:78" ht="69" customHeight="1">
      <c r="A6" s="1108"/>
      <c r="B6" s="1123"/>
      <c r="C6" s="1123"/>
      <c r="D6" s="1108"/>
      <c r="E6" s="1119"/>
      <c r="F6" s="1119"/>
      <c r="G6" s="14" t="s">
        <v>36</v>
      </c>
      <c r="H6" s="14" t="s">
        <v>353</v>
      </c>
      <c r="I6" s="1119"/>
      <c r="BW6" s="1"/>
      <c r="BX6" s="1"/>
      <c r="BY6" s="1"/>
      <c r="BZ6" s="1"/>
    </row>
    <row r="7" spans="1:78" ht="8.2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BW7" s="1"/>
      <c r="BX7" s="1"/>
      <c r="BY7" s="1"/>
      <c r="BZ7" s="1"/>
    </row>
    <row r="8" spans="1:78" ht="24.75" customHeight="1">
      <c r="A8" s="1117" t="s">
        <v>49</v>
      </c>
      <c r="B8" s="1118"/>
      <c r="C8" s="1124"/>
      <c r="D8" s="104">
        <f>SUM(D9)</f>
        <v>65000</v>
      </c>
      <c r="E8" s="92"/>
      <c r="F8" s="92"/>
      <c r="G8" s="92"/>
      <c r="H8" s="92"/>
      <c r="I8" s="92"/>
      <c r="BW8" s="1"/>
      <c r="BX8" s="1"/>
      <c r="BY8" s="1"/>
      <c r="BZ8" s="1"/>
    </row>
    <row r="9" spans="1:78" ht="51">
      <c r="A9" s="20">
        <v>756</v>
      </c>
      <c r="B9" s="20">
        <v>75618</v>
      </c>
      <c r="C9" s="109" t="s">
        <v>515</v>
      </c>
      <c r="D9" s="92">
        <v>65000</v>
      </c>
      <c r="E9" s="92"/>
      <c r="F9" s="92"/>
      <c r="G9" s="92"/>
      <c r="H9" s="92"/>
      <c r="I9" s="92"/>
      <c r="BW9" s="1"/>
      <c r="BX9" s="1"/>
      <c r="BY9" s="1"/>
      <c r="BZ9" s="1"/>
    </row>
    <row r="10" spans="1:78" ht="24.75" customHeight="1">
      <c r="A10" s="1117" t="s">
        <v>50</v>
      </c>
      <c r="B10" s="1118"/>
      <c r="C10" s="1124"/>
      <c r="D10" s="104"/>
      <c r="E10" s="110">
        <f>SUM(E11:E12)</f>
        <v>65000</v>
      </c>
      <c r="F10" s="110">
        <f>SUM(F11:F12)</f>
        <v>65000</v>
      </c>
      <c r="G10" s="110">
        <f>SUM(G11:G12)</f>
        <v>7500</v>
      </c>
      <c r="H10" s="110">
        <f>SUM(H11:H12)</f>
        <v>21500</v>
      </c>
      <c r="I10" s="110">
        <f>SUM(I11:I12)</f>
        <v>0</v>
      </c>
      <c r="BW10" s="1"/>
      <c r="BX10" s="1"/>
      <c r="BY10" s="1"/>
      <c r="BZ10" s="1"/>
    </row>
    <row r="11" spans="1:78" ht="21.75" customHeight="1">
      <c r="A11" s="28">
        <v>851</v>
      </c>
      <c r="B11" s="28">
        <v>85153</v>
      </c>
      <c r="C11" s="18" t="s">
        <v>626</v>
      </c>
      <c r="D11" s="66"/>
      <c r="E11" s="66">
        <f>F11+I11</f>
        <v>2000</v>
      </c>
      <c r="F11" s="66">
        <v>2000</v>
      </c>
      <c r="G11" s="66"/>
      <c r="H11" s="66"/>
      <c r="I11" s="66"/>
      <c r="BW11" s="1"/>
      <c r="BX11" s="1"/>
      <c r="BY11" s="1"/>
      <c r="BZ11" s="1"/>
    </row>
    <row r="12" spans="1:78" ht="21.75" customHeight="1">
      <c r="A12" s="28">
        <v>851</v>
      </c>
      <c r="B12" s="28">
        <v>85154</v>
      </c>
      <c r="C12" s="18" t="s">
        <v>628</v>
      </c>
      <c r="D12" s="66"/>
      <c r="E12" s="66">
        <f>F12+I12</f>
        <v>63000</v>
      </c>
      <c r="F12" s="66">
        <v>63000</v>
      </c>
      <c r="G12" s="66">
        <v>7500</v>
      </c>
      <c r="H12" s="66">
        <v>21500</v>
      </c>
      <c r="I12" s="66"/>
      <c r="BW12" s="1"/>
      <c r="BX12" s="1"/>
      <c r="BY12" s="1"/>
      <c r="BZ12" s="1"/>
    </row>
    <row r="13" spans="1:78" ht="10.5" customHeight="1">
      <c r="A13" s="19"/>
      <c r="B13" s="19"/>
      <c r="C13" s="19"/>
      <c r="D13" s="91"/>
      <c r="E13" s="91"/>
      <c r="F13" s="91"/>
      <c r="G13" s="91"/>
      <c r="H13" s="91"/>
      <c r="I13" s="91"/>
      <c r="BW13" s="1"/>
      <c r="BX13" s="1"/>
      <c r="BY13" s="1"/>
      <c r="BZ13" s="1"/>
    </row>
    <row r="16" spans="1:2" ht="12.75">
      <c r="A16" s="46"/>
      <c r="B16" s="38" t="s">
        <v>94</v>
      </c>
    </row>
  </sheetData>
  <mergeCells count="12">
    <mergeCell ref="A10:C10"/>
    <mergeCell ref="A8:C8"/>
    <mergeCell ref="A1:I1"/>
    <mergeCell ref="A4:A6"/>
    <mergeCell ref="B4:B6"/>
    <mergeCell ref="C4:C6"/>
    <mergeCell ref="D4:D6"/>
    <mergeCell ref="E4:E6"/>
    <mergeCell ref="F4:I4"/>
    <mergeCell ref="F5:F6"/>
    <mergeCell ref="G5:H5"/>
    <mergeCell ref="I5:I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&amp;R&amp;"Arial CE,Pogrubiony"Załącznik nr &amp;A&amp;"Arial CE,Standardowy"
do Uchwały Rady Gminy Miłkowice Nr XXXV/181/2009
z dnia 30 stycznia 2009 roku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D197"/>
  <sheetViews>
    <sheetView workbookViewId="0" topLeftCell="A25">
      <selection activeCell="F31" sqref="F31"/>
    </sheetView>
  </sheetViews>
  <sheetFormatPr defaultColWidth="9.00390625" defaultRowHeight="12.75"/>
  <cols>
    <col min="1" max="1" width="14.625" style="297" customWidth="1"/>
    <col min="2" max="2" width="53.375" style="297" customWidth="1"/>
    <col min="3" max="3" width="19.25390625" style="297" customWidth="1"/>
    <col min="4" max="4" width="16.375" style="297" customWidth="1"/>
    <col min="5" max="16384" width="9.125" style="297" customWidth="1"/>
  </cols>
  <sheetData>
    <row r="1" ht="4.5" customHeight="1"/>
    <row r="2" spans="1:3" ht="15.75">
      <c r="A2" s="1127" t="s">
        <v>389</v>
      </c>
      <c r="B2" s="1127"/>
      <c r="C2" s="1127"/>
    </row>
    <row r="3" spans="1:3" ht="33" customHeight="1">
      <c r="A3" s="1128" t="s">
        <v>379</v>
      </c>
      <c r="B3" s="1128"/>
      <c r="C3" s="1128"/>
    </row>
    <row r="4" ht="6.75" customHeight="1"/>
    <row r="5" spans="1:3" ht="16.5" customHeight="1">
      <c r="A5" s="1125" t="s">
        <v>378</v>
      </c>
      <c r="B5" s="1125"/>
      <c r="C5" s="1125"/>
    </row>
    <row r="6" spans="1:3" ht="16.5" customHeight="1">
      <c r="A6" s="352"/>
      <c r="B6" s="298" t="s">
        <v>390</v>
      </c>
      <c r="C6" s="353">
        <v>-200000</v>
      </c>
    </row>
    <row r="7" spans="1:3" ht="18.75" customHeight="1">
      <c r="A7" s="354" t="s">
        <v>95</v>
      </c>
      <c r="B7" s="299" t="s">
        <v>437</v>
      </c>
      <c r="C7" s="355">
        <f>624112-93458+165000</f>
        <v>695654</v>
      </c>
    </row>
    <row r="8" spans="1:3" ht="16.5" customHeight="1">
      <c r="A8" s="356" t="s">
        <v>391</v>
      </c>
      <c r="B8" s="300" t="s">
        <v>487</v>
      </c>
      <c r="C8" s="357">
        <v>30000</v>
      </c>
    </row>
    <row r="9" spans="1:3" ht="51">
      <c r="A9" s="356" t="s">
        <v>392</v>
      </c>
      <c r="B9" s="300" t="s">
        <v>489</v>
      </c>
      <c r="C9" s="357">
        <v>224542</v>
      </c>
    </row>
    <row r="10" spans="1:3" ht="16.5" customHeight="1" thickBot="1">
      <c r="A10" s="356" t="s">
        <v>393</v>
      </c>
      <c r="B10" s="300" t="s">
        <v>525</v>
      </c>
      <c r="C10" s="357">
        <f>1743976-100000</f>
        <v>1643976</v>
      </c>
    </row>
    <row r="11" spans="1:4" ht="16.5" customHeight="1" hidden="1" thickBot="1">
      <c r="A11" s="362"/>
      <c r="B11" s="365" t="s">
        <v>394</v>
      </c>
      <c r="C11" s="355"/>
      <c r="D11" s="478"/>
    </row>
    <row r="12" spans="1:4" ht="16.5" customHeight="1" thickBot="1">
      <c r="A12" s="1130" t="s">
        <v>215</v>
      </c>
      <c r="B12" s="1131"/>
      <c r="C12" s="366">
        <f>SUM(C6:C11)</f>
        <v>2394172</v>
      </c>
      <c r="D12" s="478"/>
    </row>
    <row r="13" spans="1:3" ht="9.75" customHeight="1">
      <c r="A13" s="301"/>
      <c r="B13" s="302"/>
      <c r="C13" s="303"/>
    </row>
    <row r="14" spans="1:3" ht="16.5" customHeight="1">
      <c r="A14" s="1126" t="s">
        <v>377</v>
      </c>
      <c r="B14" s="1126"/>
      <c r="C14" s="1126"/>
    </row>
    <row r="15" spans="1:3" ht="16.5" customHeight="1">
      <c r="A15" s="359" t="s">
        <v>395</v>
      </c>
      <c r="B15" s="304" t="s">
        <v>144</v>
      </c>
      <c r="C15" s="360">
        <v>2500</v>
      </c>
    </row>
    <row r="16" spans="1:3" ht="16.5" customHeight="1">
      <c r="A16" s="356" t="s">
        <v>396</v>
      </c>
      <c r="B16" s="305" t="s">
        <v>128</v>
      </c>
      <c r="C16" s="361">
        <f>796846-8458</f>
        <v>788388</v>
      </c>
    </row>
    <row r="17" spans="1:3" ht="16.5" customHeight="1">
      <c r="A17" s="356" t="s">
        <v>397</v>
      </c>
      <c r="B17" s="305" t="s">
        <v>129</v>
      </c>
      <c r="C17" s="361">
        <v>66944</v>
      </c>
    </row>
    <row r="18" spans="1:3" ht="16.5" customHeight="1">
      <c r="A18" s="356" t="s">
        <v>398</v>
      </c>
      <c r="B18" s="305" t="s">
        <v>130</v>
      </c>
      <c r="C18" s="361">
        <f>137317-3500</f>
        <v>133817</v>
      </c>
    </row>
    <row r="19" spans="1:3" ht="16.5" customHeight="1">
      <c r="A19" s="356" t="s">
        <v>399</v>
      </c>
      <c r="B19" s="305" t="s">
        <v>131</v>
      </c>
      <c r="C19" s="361">
        <f>21523-1000</f>
        <v>20523</v>
      </c>
    </row>
    <row r="20" spans="1:3" ht="16.5" customHeight="1">
      <c r="A20" s="356" t="s">
        <v>400</v>
      </c>
      <c r="B20" s="305" t="s">
        <v>136</v>
      </c>
      <c r="C20" s="361">
        <v>60200</v>
      </c>
    </row>
    <row r="21" spans="1:3" ht="16.5" customHeight="1">
      <c r="A21" s="356" t="s">
        <v>401</v>
      </c>
      <c r="B21" s="306" t="s">
        <v>702</v>
      </c>
      <c r="C21" s="361">
        <v>220000</v>
      </c>
    </row>
    <row r="22" spans="1:3" ht="16.5" customHeight="1">
      <c r="A22" s="356" t="s">
        <v>402</v>
      </c>
      <c r="B22" s="305" t="s">
        <v>137</v>
      </c>
      <c r="C22" s="361">
        <v>1040800</v>
      </c>
    </row>
    <row r="23" spans="1:3" ht="16.5" customHeight="1">
      <c r="A23" s="356" t="s">
        <v>403</v>
      </c>
      <c r="B23" s="306" t="s">
        <v>703</v>
      </c>
      <c r="C23" s="361">
        <f>90000-5000</f>
        <v>85000</v>
      </c>
    </row>
    <row r="24" spans="1:3" ht="16.5" customHeight="1">
      <c r="A24" s="356" t="s">
        <v>404</v>
      </c>
      <c r="B24" s="306" t="s">
        <v>141</v>
      </c>
      <c r="C24" s="361">
        <v>1000</v>
      </c>
    </row>
    <row r="25" spans="1:3" ht="16.5" customHeight="1">
      <c r="A25" s="356" t="s">
        <v>405</v>
      </c>
      <c r="B25" s="306" t="s">
        <v>132</v>
      </c>
      <c r="C25" s="361">
        <f>90000-10000</f>
        <v>80000</v>
      </c>
    </row>
    <row r="26" spans="1:3" ht="24" customHeight="1">
      <c r="A26" s="356" t="s">
        <v>406</v>
      </c>
      <c r="B26" s="306" t="s">
        <v>407</v>
      </c>
      <c r="C26" s="361">
        <v>1800</v>
      </c>
    </row>
    <row r="27" spans="1:3" ht="24" customHeight="1">
      <c r="A27" s="356" t="s">
        <v>408</v>
      </c>
      <c r="B27" s="306" t="s">
        <v>409</v>
      </c>
      <c r="C27" s="361">
        <v>8000</v>
      </c>
    </row>
    <row r="28" spans="1:3" ht="15" customHeight="1">
      <c r="A28" s="356" t="s">
        <v>410</v>
      </c>
      <c r="B28" s="306" t="s">
        <v>143</v>
      </c>
      <c r="C28" s="361">
        <v>6000</v>
      </c>
    </row>
    <row r="29" spans="1:3" ht="16.5" customHeight="1">
      <c r="A29" s="356" t="s">
        <v>411</v>
      </c>
      <c r="B29" s="305" t="s">
        <v>140</v>
      </c>
      <c r="C29" s="361">
        <v>13000</v>
      </c>
    </row>
    <row r="30" spans="1:3" ht="16.5" customHeight="1">
      <c r="A30" s="356" t="s">
        <v>412</v>
      </c>
      <c r="B30" s="305" t="s">
        <v>138</v>
      </c>
      <c r="C30" s="361">
        <v>4000</v>
      </c>
    </row>
    <row r="31" spans="1:3" ht="16.5" customHeight="1">
      <c r="A31" s="356" t="s">
        <v>413</v>
      </c>
      <c r="B31" s="305" t="s">
        <v>414</v>
      </c>
      <c r="C31" s="361">
        <v>27500</v>
      </c>
    </row>
    <row r="32" spans="1:3" ht="16.5" customHeight="1" hidden="1">
      <c r="A32" s="356" t="s">
        <v>415</v>
      </c>
      <c r="B32" s="305" t="s">
        <v>504</v>
      </c>
      <c r="C32" s="361"/>
    </row>
    <row r="33" spans="1:3" ht="25.5">
      <c r="A33" s="356" t="s">
        <v>706</v>
      </c>
      <c r="B33" s="305" t="s">
        <v>145</v>
      </c>
      <c r="C33" s="361">
        <f>4000-500</f>
        <v>3500</v>
      </c>
    </row>
    <row r="34" spans="1:3" ht="16.5" customHeight="1" hidden="1">
      <c r="A34" s="356" t="s">
        <v>416</v>
      </c>
      <c r="B34" s="305" t="s">
        <v>139</v>
      </c>
      <c r="C34" s="361"/>
    </row>
    <row r="35" spans="1:3" ht="27.75" customHeight="1">
      <c r="A35" s="356" t="s">
        <v>417</v>
      </c>
      <c r="B35" s="305" t="s">
        <v>146</v>
      </c>
      <c r="C35" s="361">
        <v>1200</v>
      </c>
    </row>
    <row r="36" spans="1:4" ht="16.5" customHeight="1">
      <c r="A36" s="356" t="s">
        <v>418</v>
      </c>
      <c r="B36" s="305" t="s">
        <v>434</v>
      </c>
      <c r="C36" s="361">
        <v>6000</v>
      </c>
      <c r="D36" s="478"/>
    </row>
    <row r="37" spans="1:4" ht="16.5" customHeight="1" hidden="1">
      <c r="A37" s="358"/>
      <c r="B37" s="307" t="s">
        <v>435</v>
      </c>
      <c r="C37" s="361"/>
      <c r="D37" s="478"/>
    </row>
    <row r="38" spans="1:3" ht="16.5" customHeight="1" thickBot="1">
      <c r="A38" s="362"/>
      <c r="B38" s="363" t="s">
        <v>436</v>
      </c>
      <c r="C38" s="364">
        <v>-176000</v>
      </c>
    </row>
    <row r="39" spans="1:4" ht="16.5" customHeight="1" thickBot="1">
      <c r="A39" s="1130" t="s">
        <v>215</v>
      </c>
      <c r="B39" s="1131"/>
      <c r="C39" s="786">
        <f>SUM(C15:C38)</f>
        <v>2394172</v>
      </c>
      <c r="D39" s="478">
        <f>C39-C12</f>
        <v>0</v>
      </c>
    </row>
    <row r="40" spans="1:3" ht="8.25" customHeight="1">
      <c r="A40" s="301"/>
      <c r="B40" s="302"/>
      <c r="C40" s="303"/>
    </row>
    <row r="41" spans="1:3" ht="16.5" customHeight="1" hidden="1">
      <c r="A41" s="1129" t="s">
        <v>438</v>
      </c>
      <c r="B41" s="1129"/>
      <c r="C41" s="303"/>
    </row>
    <row r="42" spans="1:3" ht="16.5" customHeight="1">
      <c r="A42" s="1129"/>
      <c r="B42" s="1129"/>
      <c r="C42" s="303"/>
    </row>
    <row r="43" spans="1:3" ht="16.5" customHeight="1">
      <c r="A43" s="301"/>
      <c r="B43" s="302"/>
      <c r="C43" s="303"/>
    </row>
    <row r="44" spans="1:3" ht="16.5" customHeight="1">
      <c r="A44" s="301"/>
      <c r="B44" s="302"/>
      <c r="C44" s="303"/>
    </row>
    <row r="45" spans="1:3" ht="16.5" customHeight="1">
      <c r="A45" s="301"/>
      <c r="B45" s="302"/>
      <c r="C45" s="303"/>
    </row>
    <row r="46" spans="1:3" ht="16.5" customHeight="1">
      <c r="A46" s="301"/>
      <c r="B46" s="302"/>
      <c r="C46" s="303"/>
    </row>
    <row r="47" spans="1:3" ht="16.5" customHeight="1">
      <c r="A47" s="301"/>
      <c r="B47" s="302"/>
      <c r="C47" s="303"/>
    </row>
    <row r="48" spans="1:2" ht="16.5" customHeight="1">
      <c r="A48" s="301"/>
      <c r="B48" s="302"/>
    </row>
    <row r="49" spans="1:2" ht="16.5" customHeight="1">
      <c r="A49" s="301"/>
      <c r="B49" s="302"/>
    </row>
    <row r="50" spans="1:2" ht="16.5" customHeight="1">
      <c r="A50" s="301"/>
      <c r="B50" s="302"/>
    </row>
    <row r="51" spans="1:2" ht="16.5" customHeight="1">
      <c r="A51" s="301"/>
      <c r="B51" s="302"/>
    </row>
    <row r="52" spans="1:2" ht="16.5" customHeight="1">
      <c r="A52" s="301"/>
      <c r="B52" s="302"/>
    </row>
    <row r="53" ht="22.5" customHeight="1">
      <c r="A53" s="301"/>
    </row>
    <row r="54" ht="12.75">
      <c r="A54" s="301"/>
    </row>
    <row r="55" ht="12.75">
      <c r="A55" s="301"/>
    </row>
    <row r="56" ht="12.75">
      <c r="A56" s="301"/>
    </row>
    <row r="57" ht="12.75">
      <c r="A57" s="301"/>
    </row>
    <row r="58" ht="12.75">
      <c r="A58" s="301"/>
    </row>
    <row r="59" ht="12.75">
      <c r="A59" s="301"/>
    </row>
    <row r="60" ht="12.75">
      <c r="A60" s="301"/>
    </row>
    <row r="61" ht="12.75">
      <c r="A61" s="301"/>
    </row>
    <row r="62" ht="12.75">
      <c r="A62" s="301"/>
    </row>
    <row r="63" ht="12.75">
      <c r="A63" s="301"/>
    </row>
    <row r="64" ht="12.75">
      <c r="A64" s="301"/>
    </row>
    <row r="65" ht="12.75">
      <c r="A65" s="301"/>
    </row>
    <row r="66" ht="12.75">
      <c r="A66" s="301"/>
    </row>
    <row r="67" ht="12.75">
      <c r="A67" s="301"/>
    </row>
    <row r="68" ht="12.75">
      <c r="A68" s="301"/>
    </row>
    <row r="69" ht="12.75">
      <c r="A69" s="301"/>
    </row>
    <row r="70" ht="12.75">
      <c r="A70" s="301"/>
    </row>
    <row r="71" ht="12.75">
      <c r="A71" s="301"/>
    </row>
    <row r="72" ht="12.75">
      <c r="A72" s="301"/>
    </row>
    <row r="73" ht="12.75">
      <c r="A73" s="301"/>
    </row>
    <row r="74" ht="12.75">
      <c r="A74" s="301"/>
    </row>
    <row r="75" ht="12.75">
      <c r="A75" s="301"/>
    </row>
    <row r="76" ht="12.75">
      <c r="A76" s="301"/>
    </row>
    <row r="77" ht="12.75">
      <c r="A77" s="301"/>
    </row>
    <row r="78" ht="12.75">
      <c r="A78" s="301"/>
    </row>
    <row r="79" ht="12.75">
      <c r="A79" s="301"/>
    </row>
    <row r="80" ht="12.75">
      <c r="A80" s="301"/>
    </row>
    <row r="81" ht="12.75">
      <c r="A81" s="301"/>
    </row>
    <row r="82" ht="12.75">
      <c r="A82" s="301"/>
    </row>
    <row r="83" ht="12.75">
      <c r="A83" s="301"/>
    </row>
    <row r="84" ht="12.75">
      <c r="A84" s="301"/>
    </row>
    <row r="85" ht="12.75">
      <c r="A85" s="301"/>
    </row>
    <row r="86" ht="12.75">
      <c r="A86" s="301"/>
    </row>
    <row r="87" ht="12.75">
      <c r="A87" s="301"/>
    </row>
    <row r="88" ht="12.75">
      <c r="A88" s="301"/>
    </row>
    <row r="89" ht="12.75">
      <c r="A89" s="301"/>
    </row>
    <row r="90" ht="12.75">
      <c r="A90" s="301"/>
    </row>
    <row r="91" ht="12.75">
      <c r="A91" s="301"/>
    </row>
    <row r="92" ht="12.75">
      <c r="A92" s="301"/>
    </row>
    <row r="93" ht="12.75">
      <c r="A93" s="301"/>
    </row>
    <row r="94" ht="12.75">
      <c r="A94" s="301"/>
    </row>
    <row r="95" ht="12.75">
      <c r="A95" s="301"/>
    </row>
    <row r="96" ht="12.75">
      <c r="A96" s="301"/>
    </row>
    <row r="97" ht="12.75">
      <c r="A97" s="301"/>
    </row>
    <row r="98" ht="12.75">
      <c r="A98" s="301"/>
    </row>
    <row r="99" ht="12.75">
      <c r="A99" s="301"/>
    </row>
    <row r="100" ht="12.75">
      <c r="A100" s="301"/>
    </row>
    <row r="101" ht="12.75">
      <c r="A101" s="301"/>
    </row>
    <row r="102" ht="12.75">
      <c r="A102" s="301"/>
    </row>
    <row r="103" ht="12.75">
      <c r="A103" s="301"/>
    </row>
    <row r="104" ht="12.75">
      <c r="A104" s="301"/>
    </row>
    <row r="105" ht="12.75">
      <c r="A105" s="301"/>
    </row>
    <row r="106" ht="12.75">
      <c r="A106" s="301"/>
    </row>
    <row r="107" ht="12.75">
      <c r="A107" s="301"/>
    </row>
    <row r="108" ht="12.75">
      <c r="A108" s="301"/>
    </row>
    <row r="109" ht="12.75">
      <c r="A109" s="301"/>
    </row>
    <row r="110" ht="12.75">
      <c r="A110" s="301"/>
    </row>
    <row r="111" ht="12.75">
      <c r="A111" s="301"/>
    </row>
    <row r="112" ht="12.75">
      <c r="A112" s="301"/>
    </row>
    <row r="113" ht="12.75">
      <c r="A113" s="301"/>
    </row>
    <row r="114" ht="12.75">
      <c r="A114" s="301"/>
    </row>
    <row r="115" ht="12.75">
      <c r="A115" s="301"/>
    </row>
    <row r="116" ht="12.75">
      <c r="A116" s="301"/>
    </row>
    <row r="117" ht="12.75">
      <c r="A117" s="301"/>
    </row>
    <row r="118" ht="12.75">
      <c r="A118" s="301"/>
    </row>
    <row r="119" ht="12.75">
      <c r="A119" s="301"/>
    </row>
    <row r="120" ht="12.75">
      <c r="A120" s="301"/>
    </row>
    <row r="121" ht="12.75">
      <c r="A121" s="301"/>
    </row>
    <row r="122" ht="12.75">
      <c r="A122" s="301"/>
    </row>
    <row r="123" ht="12.75">
      <c r="A123" s="301"/>
    </row>
    <row r="124" ht="12.75">
      <c r="A124" s="301"/>
    </row>
    <row r="125" ht="12.75">
      <c r="A125" s="301"/>
    </row>
    <row r="126" ht="12.75">
      <c r="A126" s="301"/>
    </row>
    <row r="127" ht="12.75">
      <c r="A127" s="301"/>
    </row>
    <row r="128" ht="12.75">
      <c r="A128" s="301"/>
    </row>
    <row r="129" ht="12.75">
      <c r="A129" s="301"/>
    </row>
    <row r="130" ht="12.75">
      <c r="A130" s="301"/>
    </row>
    <row r="131" ht="12.75">
      <c r="A131" s="301"/>
    </row>
    <row r="132" ht="12.75">
      <c r="A132" s="301"/>
    </row>
    <row r="133" ht="12.75">
      <c r="A133" s="301"/>
    </row>
    <row r="134" ht="12.75">
      <c r="A134" s="301"/>
    </row>
    <row r="135" ht="12.75">
      <c r="A135" s="301"/>
    </row>
    <row r="136" ht="12.75">
      <c r="A136" s="301"/>
    </row>
    <row r="137" ht="12.75">
      <c r="A137" s="301"/>
    </row>
    <row r="138" ht="12.75">
      <c r="A138" s="301"/>
    </row>
    <row r="139" ht="12.75">
      <c r="A139" s="301"/>
    </row>
    <row r="140" ht="12.75">
      <c r="A140" s="301"/>
    </row>
    <row r="141" ht="12.75">
      <c r="A141" s="301"/>
    </row>
    <row r="142" ht="12.75">
      <c r="A142" s="301"/>
    </row>
    <row r="143" ht="12.75">
      <c r="A143" s="301"/>
    </row>
    <row r="144" ht="12.75">
      <c r="A144" s="301"/>
    </row>
    <row r="145" ht="12.75">
      <c r="A145" s="301"/>
    </row>
    <row r="146" ht="12.75">
      <c r="A146" s="301"/>
    </row>
    <row r="147" ht="12.75">
      <c r="A147" s="301"/>
    </row>
    <row r="148" ht="12.75">
      <c r="A148" s="301"/>
    </row>
    <row r="149" ht="12.75">
      <c r="A149" s="301"/>
    </row>
    <row r="150" ht="12.75">
      <c r="A150" s="301"/>
    </row>
    <row r="151" ht="12.75">
      <c r="A151" s="301"/>
    </row>
    <row r="152" ht="12.75">
      <c r="A152" s="301"/>
    </row>
    <row r="153" ht="12.75">
      <c r="A153" s="301"/>
    </row>
    <row r="154" ht="12.75">
      <c r="A154" s="301"/>
    </row>
    <row r="155" ht="12.75">
      <c r="A155" s="301"/>
    </row>
    <row r="156" ht="12.75">
      <c r="A156" s="301"/>
    </row>
    <row r="157" ht="12.75">
      <c r="A157" s="301"/>
    </row>
    <row r="158" ht="12.75">
      <c r="A158" s="301"/>
    </row>
    <row r="159" ht="12.75">
      <c r="A159" s="301"/>
    </row>
    <row r="160" ht="12.75">
      <c r="A160" s="301"/>
    </row>
    <row r="161" ht="12.75">
      <c r="A161" s="301"/>
    </row>
    <row r="162" ht="12.75">
      <c r="A162" s="301"/>
    </row>
    <row r="163" ht="12.75">
      <c r="A163" s="301"/>
    </row>
    <row r="164" ht="12.75">
      <c r="A164" s="301"/>
    </row>
    <row r="165" ht="12.75">
      <c r="A165" s="301"/>
    </row>
    <row r="166" ht="12.75">
      <c r="A166" s="301"/>
    </row>
    <row r="167" ht="12.75">
      <c r="A167" s="301"/>
    </row>
    <row r="168" ht="12.75">
      <c r="A168" s="301"/>
    </row>
    <row r="169" ht="12.75">
      <c r="A169" s="301"/>
    </row>
    <row r="170" ht="12.75">
      <c r="A170" s="301"/>
    </row>
    <row r="171" ht="12.75">
      <c r="A171" s="301"/>
    </row>
    <row r="172" ht="12.75">
      <c r="A172" s="301"/>
    </row>
    <row r="173" ht="12.75">
      <c r="A173" s="301"/>
    </row>
    <row r="174" ht="12.75">
      <c r="A174" s="301"/>
    </row>
    <row r="175" ht="12.75">
      <c r="A175" s="301"/>
    </row>
    <row r="176" ht="12.75">
      <c r="A176" s="301"/>
    </row>
    <row r="177" ht="12.75">
      <c r="A177" s="301"/>
    </row>
    <row r="178" ht="12.75">
      <c r="A178" s="301"/>
    </row>
    <row r="179" ht="12.75">
      <c r="A179" s="301"/>
    </row>
    <row r="180" ht="12.75">
      <c r="A180" s="301"/>
    </row>
    <row r="181" ht="12.75">
      <c r="A181" s="301"/>
    </row>
    <row r="182" ht="12.75">
      <c r="A182" s="301"/>
    </row>
    <row r="183" ht="12.75">
      <c r="A183" s="301"/>
    </row>
    <row r="184" ht="12.75">
      <c r="A184" s="301"/>
    </row>
    <row r="185" ht="12.75">
      <c r="A185" s="301"/>
    </row>
    <row r="186" ht="12.75">
      <c r="A186" s="301"/>
    </row>
    <row r="187" ht="12.75">
      <c r="A187" s="301"/>
    </row>
    <row r="188" ht="12.75">
      <c r="A188" s="301"/>
    </row>
    <row r="189" ht="12.75">
      <c r="A189" s="301"/>
    </row>
    <row r="190" ht="12.75">
      <c r="A190" s="301"/>
    </row>
    <row r="191" ht="12.75">
      <c r="A191" s="301"/>
    </row>
    <row r="192" ht="12.75">
      <c r="A192" s="301"/>
    </row>
    <row r="193" ht="12.75">
      <c r="A193" s="301"/>
    </row>
    <row r="194" ht="12.75">
      <c r="A194" s="301"/>
    </row>
    <row r="195" ht="12.75">
      <c r="A195" s="301"/>
    </row>
    <row r="196" ht="12.75">
      <c r="A196" s="301"/>
    </row>
    <row r="197" ht="12.75">
      <c r="A197" s="301"/>
    </row>
  </sheetData>
  <mergeCells count="8">
    <mergeCell ref="A42:B42"/>
    <mergeCell ref="A41:B41"/>
    <mergeCell ref="A12:B12"/>
    <mergeCell ref="A39:B39"/>
    <mergeCell ref="A5:C5"/>
    <mergeCell ref="A14:C14"/>
    <mergeCell ref="A2:C2"/>
    <mergeCell ref="A3:C3"/>
  </mergeCells>
  <printOptions horizontalCentered="1"/>
  <pageMargins left="0.59" right="0.47" top="1.37" bottom="0.5905511811023623" header="0.44" footer="0.5118110236220472"/>
  <pageSetup horizontalDpi="300" verticalDpi="300" orientation="portrait" paperSize="9" r:id="rId1"/>
  <headerFooter alignWithMargins="0">
    <oddHeader>&amp;R&amp;"Arial CE,Pogrubiony"Załącznik Nr &amp;A&amp;"Arial CE,Standardowy"
do Uchwały Rady Gminy Miłkowice Nr XXXV/181/2009
z dnia 30 stycznia 2009 roku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A1">
      <selection activeCell="H5" sqref="H5"/>
    </sheetView>
  </sheetViews>
  <sheetFormatPr defaultColWidth="9.00390625" defaultRowHeight="12.75"/>
  <cols>
    <col min="1" max="1" width="6.00390625" style="308" customWidth="1"/>
    <col min="2" max="2" width="9.125" style="308" customWidth="1"/>
    <col min="3" max="3" width="42.25390625" style="308" customWidth="1"/>
    <col min="4" max="4" width="12.125" style="308" customWidth="1"/>
    <col min="5" max="5" width="13.875" style="308" customWidth="1"/>
    <col min="6" max="6" width="11.375" style="308" customWidth="1"/>
    <col min="7" max="7" width="10.25390625" style="308" customWidth="1"/>
    <col min="8" max="16384" width="9.125" style="308" customWidth="1"/>
  </cols>
  <sheetData>
    <row r="1" spans="3:4" ht="5.25" customHeight="1">
      <c r="C1" s="309"/>
      <c r="D1" s="309"/>
    </row>
    <row r="2" spans="1:7" ht="15.75">
      <c r="A2" s="1138" t="s">
        <v>439</v>
      </c>
      <c r="B2" s="1138"/>
      <c r="C2" s="1138"/>
      <c r="D2" s="1138"/>
      <c r="E2" s="1138"/>
      <c r="F2" s="1138"/>
      <c r="G2" s="1138"/>
    </row>
    <row r="3" spans="1:7" ht="15.75">
      <c r="A3" s="1138" t="s">
        <v>440</v>
      </c>
      <c r="B3" s="1138"/>
      <c r="C3" s="1138"/>
      <c r="D3" s="1138"/>
      <c r="E3" s="1138"/>
      <c r="F3" s="1138"/>
      <c r="G3" s="1138"/>
    </row>
    <row r="4" spans="1:7" ht="15.75">
      <c r="A4" s="1139" t="s">
        <v>380</v>
      </c>
      <c r="B4" s="1139"/>
      <c r="C4" s="1139"/>
      <c r="D4" s="1139"/>
      <c r="E4" s="1139"/>
      <c r="F4" s="1139"/>
      <c r="G4" s="1139"/>
    </row>
    <row r="5" spans="1:7" ht="8.25" customHeight="1" thickBot="1">
      <c r="A5" s="310"/>
      <c r="B5" s="310"/>
      <c r="C5" s="310"/>
      <c r="D5" s="310"/>
      <c r="E5" s="310"/>
      <c r="F5" s="310"/>
      <c r="G5" s="310"/>
    </row>
    <row r="6" spans="1:7" ht="24.75" customHeight="1" thickBot="1">
      <c r="A6" s="403" t="s">
        <v>441</v>
      </c>
      <c r="B6" s="404" t="s">
        <v>442</v>
      </c>
      <c r="C6" s="404" t="s">
        <v>443</v>
      </c>
      <c r="D6" s="405" t="s">
        <v>444</v>
      </c>
      <c r="E6" s="404" t="s">
        <v>445</v>
      </c>
      <c r="F6" s="404" t="s">
        <v>446</v>
      </c>
      <c r="G6" s="406" t="s">
        <v>447</v>
      </c>
    </row>
    <row r="7" spans="1:7" ht="18" customHeight="1">
      <c r="A7" s="1132" t="s">
        <v>445</v>
      </c>
      <c r="B7" s="1133"/>
      <c r="C7" s="1134"/>
      <c r="D7" s="407">
        <f>SUM(D8)</f>
        <v>20981.9</v>
      </c>
      <c r="E7" s="407">
        <f>SUM(E8)</f>
        <v>31300</v>
      </c>
      <c r="F7" s="408"/>
      <c r="G7" s="409"/>
    </row>
    <row r="8" spans="1:7" ht="15.75" customHeight="1">
      <c r="A8" s="311" t="s">
        <v>545</v>
      </c>
      <c r="B8" s="312"/>
      <c r="C8" s="313" t="s">
        <v>142</v>
      </c>
      <c r="D8" s="370">
        <f>D17+D18</f>
        <v>20981.9</v>
      </c>
      <c r="E8" s="370">
        <f>E17+E18</f>
        <v>31300</v>
      </c>
      <c r="F8" s="314"/>
      <c r="G8" s="315"/>
    </row>
    <row r="9" spans="1:8" ht="17.25" customHeight="1">
      <c r="A9" s="371" t="s">
        <v>545</v>
      </c>
      <c r="B9" s="372" t="s">
        <v>546</v>
      </c>
      <c r="C9" s="373" t="s">
        <v>270</v>
      </c>
      <c r="D9" s="374">
        <v>3312.16</v>
      </c>
      <c r="E9" s="375">
        <f>SUM(E10:E12)</f>
        <v>5800</v>
      </c>
      <c r="F9" s="317"/>
      <c r="G9" s="318"/>
      <c r="H9" s="798"/>
    </row>
    <row r="10" spans="1:7" ht="15.75" customHeight="1">
      <c r="A10" s="795"/>
      <c r="B10" s="369"/>
      <c r="C10" s="316" t="s">
        <v>381</v>
      </c>
      <c r="D10" s="367"/>
      <c r="E10" s="320">
        <v>600</v>
      </c>
      <c r="F10" s="368"/>
      <c r="G10" s="322"/>
    </row>
    <row r="11" spans="1:7" ht="15.75" customHeight="1">
      <c r="A11" s="795"/>
      <c r="B11" s="369"/>
      <c r="C11" s="387" t="s">
        <v>382</v>
      </c>
      <c r="D11" s="388"/>
      <c r="E11" s="389">
        <v>1000</v>
      </c>
      <c r="F11" s="390"/>
      <c r="G11" s="391"/>
    </row>
    <row r="12" spans="1:7" ht="15.75" customHeight="1">
      <c r="A12" s="795"/>
      <c r="B12" s="369"/>
      <c r="C12" s="319" t="s">
        <v>383</v>
      </c>
      <c r="D12" s="397"/>
      <c r="E12" s="398">
        <v>4200</v>
      </c>
      <c r="F12" s="399"/>
      <c r="G12" s="400"/>
    </row>
    <row r="13" spans="1:8" ht="25.5">
      <c r="A13" s="371" t="s">
        <v>545</v>
      </c>
      <c r="B13" s="372" t="s">
        <v>546</v>
      </c>
      <c r="C13" s="376" t="s">
        <v>704</v>
      </c>
      <c r="D13" s="377">
        <v>13674.95</v>
      </c>
      <c r="E13" s="378">
        <f>SUM(E14:E16)</f>
        <v>14640</v>
      </c>
      <c r="F13" s="321"/>
      <c r="G13" s="322"/>
      <c r="H13" s="798"/>
    </row>
    <row r="14" spans="1:7" ht="15.75" customHeight="1">
      <c r="A14" s="795"/>
      <c r="B14" s="369"/>
      <c r="C14" s="316" t="s">
        <v>381</v>
      </c>
      <c r="D14" s="367"/>
      <c r="E14" s="320"/>
      <c r="F14" s="368"/>
      <c r="G14" s="322"/>
    </row>
    <row r="15" spans="1:7" ht="15.75" customHeight="1">
      <c r="A15" s="795"/>
      <c r="B15" s="369"/>
      <c r="C15" s="387" t="s">
        <v>382</v>
      </c>
      <c r="D15" s="388"/>
      <c r="E15" s="389">
        <v>3000</v>
      </c>
      <c r="F15" s="390"/>
      <c r="G15" s="391"/>
    </row>
    <row r="16" spans="1:7" ht="15.75" customHeight="1">
      <c r="A16" s="795"/>
      <c r="B16" s="369"/>
      <c r="C16" s="791" t="s">
        <v>383</v>
      </c>
      <c r="D16" s="397"/>
      <c r="E16" s="790">
        <v>11640</v>
      </c>
      <c r="F16" s="399"/>
      <c r="G16" s="400"/>
    </row>
    <row r="17" spans="1:7" ht="15.75" customHeight="1">
      <c r="A17" s="796"/>
      <c r="B17" s="792"/>
      <c r="C17" s="793" t="s">
        <v>705</v>
      </c>
      <c r="D17" s="794">
        <f>D9+D13</f>
        <v>16987.11</v>
      </c>
      <c r="E17" s="794">
        <f>E9+E13</f>
        <v>20440</v>
      </c>
      <c r="F17" s="314"/>
      <c r="G17" s="797"/>
    </row>
    <row r="18" spans="1:8" ht="25.5">
      <c r="A18" s="371" t="s">
        <v>545</v>
      </c>
      <c r="B18" s="372" t="s">
        <v>548</v>
      </c>
      <c r="C18" s="376" t="s">
        <v>704</v>
      </c>
      <c r="D18" s="377">
        <v>3994.79</v>
      </c>
      <c r="E18" s="378">
        <f>SUM(E19:E21)</f>
        <v>10860</v>
      </c>
      <c r="F18" s="321"/>
      <c r="G18" s="322"/>
      <c r="H18" s="798"/>
    </row>
    <row r="19" spans="1:7" ht="15.75" customHeight="1">
      <c r="A19" s="795"/>
      <c r="B19" s="369"/>
      <c r="C19" s="316" t="s">
        <v>381</v>
      </c>
      <c r="D19" s="367"/>
      <c r="E19" s="320">
        <v>1100</v>
      </c>
      <c r="F19" s="368"/>
      <c r="G19" s="322"/>
    </row>
    <row r="20" spans="1:7" ht="15.75" customHeight="1">
      <c r="A20" s="795"/>
      <c r="B20" s="369"/>
      <c r="C20" s="387" t="s">
        <v>382</v>
      </c>
      <c r="D20" s="388"/>
      <c r="E20" s="389">
        <v>2000</v>
      </c>
      <c r="F20" s="390"/>
      <c r="G20" s="391"/>
    </row>
    <row r="21" spans="1:7" ht="15.75" customHeight="1">
      <c r="A21" s="795"/>
      <c r="B21" s="369"/>
      <c r="C21" s="319" t="s">
        <v>383</v>
      </c>
      <c r="D21" s="397"/>
      <c r="E21" s="398">
        <v>7760</v>
      </c>
      <c r="F21" s="399"/>
      <c r="G21" s="400"/>
    </row>
    <row r="22" spans="1:7" ht="8.25" customHeight="1">
      <c r="A22" s="323"/>
      <c r="B22" s="324"/>
      <c r="C22" s="325"/>
      <c r="D22" s="326"/>
      <c r="E22" s="327"/>
      <c r="F22" s="328"/>
      <c r="G22" s="315"/>
    </row>
    <row r="23" spans="1:7" ht="15" customHeight="1">
      <c r="A23" s="1140" t="s">
        <v>446</v>
      </c>
      <c r="B23" s="1141"/>
      <c r="C23" s="1142"/>
      <c r="D23" s="410"/>
      <c r="E23" s="411"/>
      <c r="F23" s="407">
        <f>F24</f>
        <v>52281.9</v>
      </c>
      <c r="G23" s="412">
        <f>G24</f>
        <v>0</v>
      </c>
    </row>
    <row r="24" spans="1:7" ht="15.75" customHeight="1">
      <c r="A24" s="311" t="s">
        <v>545</v>
      </c>
      <c r="B24" s="312"/>
      <c r="C24" s="313" t="s">
        <v>142</v>
      </c>
      <c r="D24" s="329"/>
      <c r="E24" s="314"/>
      <c r="F24" s="370">
        <f>F35+F36</f>
        <v>52281.9</v>
      </c>
      <c r="G24" s="370">
        <f>G35+G36</f>
        <v>0</v>
      </c>
    </row>
    <row r="25" spans="1:7" ht="16.5" customHeight="1">
      <c r="A25" s="371" t="s">
        <v>545</v>
      </c>
      <c r="B25" s="372" t="s">
        <v>546</v>
      </c>
      <c r="C25" s="373" t="s">
        <v>270</v>
      </c>
      <c r="D25" s="379"/>
      <c r="E25" s="317"/>
      <c r="F25" s="381">
        <f>SUM(F26:F29)</f>
        <v>9112.16</v>
      </c>
      <c r="G25" s="318">
        <f>SUM(G26:G29)</f>
        <v>0</v>
      </c>
    </row>
    <row r="26" spans="1:7" ht="15.75" customHeight="1">
      <c r="A26" s="795"/>
      <c r="B26" s="369"/>
      <c r="C26" s="382" t="s">
        <v>384</v>
      </c>
      <c r="D26" s="383"/>
      <c r="E26" s="384"/>
      <c r="F26" s="385">
        <v>1761.93</v>
      </c>
      <c r="G26" s="386"/>
    </row>
    <row r="27" spans="1:7" ht="15.75" customHeight="1">
      <c r="A27" s="795"/>
      <c r="B27" s="369"/>
      <c r="C27" s="387" t="s">
        <v>385</v>
      </c>
      <c r="D27" s="388"/>
      <c r="E27" s="389"/>
      <c r="F27" s="390">
        <v>5150.23</v>
      </c>
      <c r="G27" s="391"/>
    </row>
    <row r="28" spans="1:7" ht="15.75" customHeight="1">
      <c r="A28" s="795"/>
      <c r="B28" s="369"/>
      <c r="C28" s="387" t="s">
        <v>386</v>
      </c>
      <c r="D28" s="388"/>
      <c r="E28" s="389"/>
      <c r="F28" s="390">
        <v>1500</v>
      </c>
      <c r="G28" s="391"/>
    </row>
    <row r="29" spans="1:7" ht="15.75" customHeight="1">
      <c r="A29" s="795"/>
      <c r="B29" s="369"/>
      <c r="C29" s="392" t="s">
        <v>387</v>
      </c>
      <c r="D29" s="393"/>
      <c r="E29" s="394"/>
      <c r="F29" s="395">
        <v>700</v>
      </c>
      <c r="G29" s="396"/>
    </row>
    <row r="30" spans="1:7" ht="25.5">
      <c r="A30" s="371" t="s">
        <v>545</v>
      </c>
      <c r="B30" s="372" t="s">
        <v>546</v>
      </c>
      <c r="C30" s="376" t="s">
        <v>704</v>
      </c>
      <c r="D30" s="380"/>
      <c r="E30" s="381"/>
      <c r="F30" s="381">
        <f>SUM(F31:F34)</f>
        <v>28314.949999999997</v>
      </c>
      <c r="G30" s="787">
        <f>SUM(G31:G34)</f>
        <v>0</v>
      </c>
    </row>
    <row r="31" spans="1:7" ht="15.75" customHeight="1">
      <c r="A31" s="795"/>
      <c r="B31" s="369"/>
      <c r="C31" s="316" t="s">
        <v>384</v>
      </c>
      <c r="D31" s="367"/>
      <c r="E31" s="320"/>
      <c r="F31" s="368">
        <v>6686.35</v>
      </c>
      <c r="G31" s="322"/>
    </row>
    <row r="32" spans="1:7" ht="15.75" customHeight="1">
      <c r="A32" s="795"/>
      <c r="B32" s="369"/>
      <c r="C32" s="387" t="s">
        <v>385</v>
      </c>
      <c r="D32" s="388"/>
      <c r="E32" s="389"/>
      <c r="F32" s="390">
        <v>18528.6</v>
      </c>
      <c r="G32" s="391"/>
    </row>
    <row r="33" spans="1:7" ht="15.75" customHeight="1">
      <c r="A33" s="795"/>
      <c r="B33" s="369"/>
      <c r="C33" s="387" t="s">
        <v>386</v>
      </c>
      <c r="D33" s="388"/>
      <c r="E33" s="389"/>
      <c r="F33" s="390">
        <v>2500</v>
      </c>
      <c r="G33" s="391"/>
    </row>
    <row r="34" spans="1:7" ht="15.75" customHeight="1">
      <c r="A34" s="795"/>
      <c r="B34" s="369"/>
      <c r="C34" s="319" t="s">
        <v>387</v>
      </c>
      <c r="D34" s="397"/>
      <c r="E34" s="398"/>
      <c r="F34" s="399">
        <v>600</v>
      </c>
      <c r="G34" s="400"/>
    </row>
    <row r="35" spans="1:7" ht="15.75" customHeight="1">
      <c r="A35" s="796"/>
      <c r="B35" s="792"/>
      <c r="C35" s="793" t="s">
        <v>705</v>
      </c>
      <c r="D35" s="794"/>
      <c r="E35" s="794"/>
      <c r="F35" s="794">
        <f>F25+F30</f>
        <v>37427.11</v>
      </c>
      <c r="G35" s="794">
        <f>G27+G31</f>
        <v>0</v>
      </c>
    </row>
    <row r="36" spans="1:7" ht="25.5">
      <c r="A36" s="371" t="s">
        <v>545</v>
      </c>
      <c r="B36" s="372" t="s">
        <v>548</v>
      </c>
      <c r="C36" s="376" t="s">
        <v>704</v>
      </c>
      <c r="D36" s="380"/>
      <c r="E36" s="381"/>
      <c r="F36" s="381">
        <f>SUM(F37:F40)</f>
        <v>14854.79</v>
      </c>
      <c r="G36" s="787">
        <f>SUM(G37:G40)</f>
        <v>0</v>
      </c>
    </row>
    <row r="37" spans="1:7" ht="15.75" customHeight="1">
      <c r="A37" s="795"/>
      <c r="B37" s="369"/>
      <c r="C37" s="316" t="s">
        <v>384</v>
      </c>
      <c r="D37" s="367"/>
      <c r="E37" s="320"/>
      <c r="F37" s="368">
        <v>3084.79</v>
      </c>
      <c r="G37" s="322"/>
    </row>
    <row r="38" spans="1:7" ht="15.75" customHeight="1">
      <c r="A38" s="795"/>
      <c r="B38" s="369"/>
      <c r="C38" s="387" t="s">
        <v>385</v>
      </c>
      <c r="D38" s="388"/>
      <c r="E38" s="389"/>
      <c r="F38" s="390">
        <v>8870</v>
      </c>
      <c r="G38" s="391"/>
    </row>
    <row r="39" spans="1:7" ht="15.75" customHeight="1">
      <c r="A39" s="795"/>
      <c r="B39" s="369"/>
      <c r="C39" s="387" t="s">
        <v>386</v>
      </c>
      <c r="D39" s="388"/>
      <c r="E39" s="389"/>
      <c r="F39" s="390">
        <v>2500</v>
      </c>
      <c r="G39" s="391"/>
    </row>
    <row r="40" spans="1:7" ht="15.75" customHeight="1" thickBot="1">
      <c r="A40" s="795"/>
      <c r="B40" s="369"/>
      <c r="C40" s="319" t="s">
        <v>387</v>
      </c>
      <c r="D40" s="397"/>
      <c r="E40" s="398"/>
      <c r="F40" s="399">
        <v>400</v>
      </c>
      <c r="G40" s="400"/>
    </row>
    <row r="41" spans="1:7" ht="24.75" customHeight="1" thickBot="1">
      <c r="A41" s="1136" t="s">
        <v>448</v>
      </c>
      <c r="B41" s="1137"/>
      <c r="C41" s="1137"/>
      <c r="D41" s="330" t="s">
        <v>449</v>
      </c>
      <c r="E41" s="331">
        <f>E8+D8</f>
        <v>52281.9</v>
      </c>
      <c r="F41" s="330" t="s">
        <v>450</v>
      </c>
      <c r="G41" s="332">
        <f>F23+G23</f>
        <v>52281.9</v>
      </c>
    </row>
    <row r="42" spans="1:7" ht="12.75">
      <c r="A42" s="333"/>
      <c r="B42" s="333"/>
      <c r="E42" s="303"/>
      <c r="F42" s="303"/>
      <c r="G42" s="303"/>
    </row>
    <row r="44" spans="3:7" ht="25.5" customHeight="1">
      <c r="C44" s="1135"/>
      <c r="D44" s="1135"/>
      <c r="E44" s="1135"/>
      <c r="F44" s="1135"/>
      <c r="G44" s="1135"/>
    </row>
  </sheetData>
  <mergeCells count="7">
    <mergeCell ref="A7:C7"/>
    <mergeCell ref="C44:G44"/>
    <mergeCell ref="A41:C41"/>
    <mergeCell ref="A2:G2"/>
    <mergeCell ref="A3:G3"/>
    <mergeCell ref="A4:G4"/>
    <mergeCell ref="A23:C23"/>
  </mergeCells>
  <printOptions horizontalCentered="1"/>
  <pageMargins left="0.7874015748031497" right="0.7874015748031497" top="1.09" bottom="0.5905511811023623" header="0.5" footer="0.5118110236220472"/>
  <pageSetup fitToHeight="1" fitToWidth="1" horizontalDpi="300" verticalDpi="300" orientation="portrait" paperSize="9" scale="83" r:id="rId1"/>
  <headerFooter alignWithMargins="0">
    <oddHeader>&amp;R&amp;"Arial CE,Pogrubiony"Załącznik Nr &amp;A&amp;"Arial CE,Standardowy"
do Uchwały Rady Gminy Miłkowice Nr XXXV/181/2009
z dnia 30 stycznia 2009 roku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"/>
  <sheetViews>
    <sheetView showGridLines="0" workbookViewId="0" topLeftCell="A1">
      <selection activeCell="I11" sqref="I11"/>
    </sheetView>
  </sheetViews>
  <sheetFormatPr defaultColWidth="9.00390625" defaultRowHeight="12.75"/>
  <cols>
    <col min="1" max="1" width="4.125" style="659" customWidth="1"/>
    <col min="2" max="2" width="8.125" style="659" customWidth="1"/>
    <col min="3" max="3" width="10.00390625" style="659" customWidth="1"/>
    <col min="4" max="4" width="26.25390625" style="659" customWidth="1"/>
    <col min="5" max="5" width="28.125" style="659" customWidth="1"/>
    <col min="6" max="6" width="14.25390625" style="659" customWidth="1"/>
    <col min="7" max="16384" width="9.125" style="659" customWidth="1"/>
  </cols>
  <sheetData>
    <row r="1" spans="1:6" ht="19.5" customHeight="1">
      <c r="A1" s="1146" t="s">
        <v>369</v>
      </c>
      <c r="B1" s="1146"/>
      <c r="C1" s="1146"/>
      <c r="D1" s="1146"/>
      <c r="E1" s="1146"/>
      <c r="F1" s="1146"/>
    </row>
    <row r="2" spans="4:6" ht="9.75" customHeight="1">
      <c r="D2" s="660"/>
      <c r="E2" s="660"/>
      <c r="F2" s="660"/>
    </row>
    <row r="3" spans="4:6" ht="19.5" customHeight="1">
      <c r="D3" s="701"/>
      <c r="E3" s="701"/>
      <c r="F3" s="702" t="s">
        <v>321</v>
      </c>
    </row>
    <row r="4" spans="1:6" ht="19.5" customHeight="1">
      <c r="A4" s="1148" t="s">
        <v>335</v>
      </c>
      <c r="B4" s="1148" t="s">
        <v>285</v>
      </c>
      <c r="C4" s="1148" t="s">
        <v>286</v>
      </c>
      <c r="D4" s="1147" t="s">
        <v>339</v>
      </c>
      <c r="E4" s="1147" t="s">
        <v>340</v>
      </c>
      <c r="F4" s="1147" t="s">
        <v>708</v>
      </c>
    </row>
    <row r="5" spans="1:6" ht="19.5" customHeight="1">
      <c r="A5" s="1148"/>
      <c r="B5" s="1148"/>
      <c r="C5" s="1148"/>
      <c r="D5" s="1147"/>
      <c r="E5" s="1147"/>
      <c r="F5" s="1147"/>
    </row>
    <row r="6" spans="1:6" ht="19.5" customHeight="1">
      <c r="A6" s="1148"/>
      <c r="B6" s="1148"/>
      <c r="C6" s="1148"/>
      <c r="D6" s="1147"/>
      <c r="E6" s="1147"/>
      <c r="F6" s="1147"/>
    </row>
    <row r="7" spans="1:6" ht="7.5" customHeight="1">
      <c r="A7" s="703">
        <v>1</v>
      </c>
      <c r="B7" s="703">
        <v>2</v>
      </c>
      <c r="C7" s="703">
        <v>3</v>
      </c>
      <c r="D7" s="703">
        <v>4</v>
      </c>
      <c r="E7" s="703">
        <v>5</v>
      </c>
      <c r="F7" s="703">
        <v>6</v>
      </c>
    </row>
    <row r="8" spans="1:6" ht="38.25">
      <c r="A8" s="704">
        <v>1</v>
      </c>
      <c r="B8" s="705">
        <v>400</v>
      </c>
      <c r="C8" s="705">
        <v>40002</v>
      </c>
      <c r="D8" s="706" t="s">
        <v>38</v>
      </c>
      <c r="E8" s="799" t="s">
        <v>707</v>
      </c>
      <c r="F8" s="707">
        <v>250000</v>
      </c>
    </row>
    <row r="9" spans="1:6" ht="39.75">
      <c r="A9" s="704">
        <v>2</v>
      </c>
      <c r="B9" s="705">
        <v>400</v>
      </c>
      <c r="C9" s="705">
        <v>40002</v>
      </c>
      <c r="D9" s="706" t="s">
        <v>38</v>
      </c>
      <c r="E9" s="708" t="s">
        <v>709</v>
      </c>
      <c r="F9" s="707">
        <v>250000</v>
      </c>
    </row>
    <row r="10" spans="1:6" ht="30" customHeight="1">
      <c r="A10" s="704">
        <v>3</v>
      </c>
      <c r="B10" s="705">
        <v>400</v>
      </c>
      <c r="C10" s="705">
        <v>40002</v>
      </c>
      <c r="D10" s="706" t="s">
        <v>38</v>
      </c>
      <c r="E10" s="708" t="s">
        <v>685</v>
      </c>
      <c r="F10" s="707">
        <v>25000</v>
      </c>
    </row>
    <row r="11" spans="1:6" ht="30" customHeight="1">
      <c r="A11" s="709">
        <v>4</v>
      </c>
      <c r="B11" s="710">
        <v>400</v>
      </c>
      <c r="C11" s="710">
        <v>40002</v>
      </c>
      <c r="D11" s="711" t="s">
        <v>38</v>
      </c>
      <c r="E11" s="712" t="s">
        <v>686</v>
      </c>
      <c r="F11" s="713">
        <v>40000</v>
      </c>
    </row>
    <row r="12" spans="1:6" ht="30" customHeight="1" thickBot="1">
      <c r="A12" s="709">
        <v>5</v>
      </c>
      <c r="B12" s="710">
        <v>400</v>
      </c>
      <c r="C12" s="710">
        <v>40002</v>
      </c>
      <c r="D12" s="711" t="s">
        <v>38</v>
      </c>
      <c r="E12" s="712" t="s">
        <v>687</v>
      </c>
      <c r="F12" s="713">
        <v>165000</v>
      </c>
    </row>
    <row r="13" spans="1:6" s="701" customFormat="1" ht="30" customHeight="1" thickBot="1">
      <c r="A13" s="1143" t="s">
        <v>361</v>
      </c>
      <c r="B13" s="1144"/>
      <c r="C13" s="1144"/>
      <c r="D13" s="1145"/>
      <c r="E13" s="714"/>
      <c r="F13" s="715">
        <f>SUM(F8:F12)</f>
        <v>730000</v>
      </c>
    </row>
    <row r="16" ht="12.75">
      <c r="C16" s="700" t="s">
        <v>94</v>
      </c>
    </row>
  </sheetData>
  <mergeCells count="8">
    <mergeCell ref="A13:D13"/>
    <mergeCell ref="A1:F1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1.3" bottom="0.984251968503937" header="0.5118110236220472" footer="0.5118110236220472"/>
  <pageSetup horizontalDpi="600" verticalDpi="600" orientation="portrait" paperSize="9" scale="95" r:id="rId1"/>
  <headerFooter alignWithMargins="0">
    <oddHeader>&amp;R&amp;"Arial CE,Pogrubiony"Załącznik nr &amp;A&amp;"Arial CE,Standardowy"&amp;9
do Uchwały Rady Gminy Miłkowice Nr XXXV/181/2009
z dnia 30 stycznia 2009 roku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4">
      <selection activeCell="A28" sqref="A28:D28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26.00390625" style="1" customWidth="1"/>
    <col min="5" max="5" width="37.25390625" style="1" customWidth="1"/>
    <col min="6" max="6" width="9.00390625" style="1" customWidth="1"/>
    <col min="7" max="16384" width="9.125" style="1" customWidth="1"/>
  </cols>
  <sheetData>
    <row r="1" spans="1:6" ht="19.5" customHeight="1">
      <c r="A1" s="1149" t="s">
        <v>370</v>
      </c>
      <c r="B1" s="1149"/>
      <c r="C1" s="1149"/>
      <c r="D1" s="1149"/>
      <c r="E1" s="1149"/>
      <c r="F1" s="1149"/>
    </row>
    <row r="2" ht="19.5" customHeight="1">
      <c r="F2" s="10" t="s">
        <v>321</v>
      </c>
    </row>
    <row r="3" spans="1:6" ht="24.75" customHeight="1">
      <c r="A3" s="13" t="s">
        <v>335</v>
      </c>
      <c r="B3" s="13" t="s">
        <v>285</v>
      </c>
      <c r="C3" s="13" t="s">
        <v>286</v>
      </c>
      <c r="D3" s="13" t="s">
        <v>170</v>
      </c>
      <c r="E3" s="13" t="s">
        <v>340</v>
      </c>
      <c r="F3" s="14" t="s">
        <v>322</v>
      </c>
    </row>
    <row r="4" spans="1:6" ht="7.5" customHeight="1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</row>
    <row r="5" spans="1:6" ht="25.5">
      <c r="A5" s="348">
        <v>1</v>
      </c>
      <c r="B5" s="100">
        <v>851</v>
      </c>
      <c r="C5" s="100">
        <v>85121</v>
      </c>
      <c r="D5" s="96" t="s">
        <v>39</v>
      </c>
      <c r="E5" s="96" t="s">
        <v>695</v>
      </c>
      <c r="F5" s="86">
        <v>10000</v>
      </c>
    </row>
    <row r="6" spans="1:6" ht="25.5">
      <c r="A6" s="349">
        <v>2</v>
      </c>
      <c r="B6" s="24">
        <v>851</v>
      </c>
      <c r="C6" s="24">
        <v>85154</v>
      </c>
      <c r="D6" s="198" t="s">
        <v>53</v>
      </c>
      <c r="E6" s="98" t="s">
        <v>52</v>
      </c>
      <c r="F6" s="99">
        <v>21500</v>
      </c>
    </row>
    <row r="7" spans="1:6" ht="30" customHeight="1">
      <c r="A7" s="349">
        <v>3</v>
      </c>
      <c r="B7" s="24">
        <v>852</v>
      </c>
      <c r="C7" s="24">
        <v>85295</v>
      </c>
      <c r="D7" s="25" t="s">
        <v>40</v>
      </c>
      <c r="E7" s="25" t="s">
        <v>41</v>
      </c>
      <c r="F7" s="87">
        <v>70000</v>
      </c>
    </row>
    <row r="8" spans="1:6" ht="30" customHeight="1">
      <c r="A8" s="349">
        <v>4</v>
      </c>
      <c r="B8" s="24">
        <v>921</v>
      </c>
      <c r="C8" s="24">
        <v>92109</v>
      </c>
      <c r="D8" s="25" t="s">
        <v>40</v>
      </c>
      <c r="E8" s="25" t="s">
        <v>44</v>
      </c>
      <c r="F8" s="87">
        <f>150000+2800-1500</f>
        <v>151300</v>
      </c>
    </row>
    <row r="9" spans="1:6" ht="30" customHeight="1">
      <c r="A9" s="349">
        <v>5</v>
      </c>
      <c r="B9" s="24">
        <v>921</v>
      </c>
      <c r="C9" s="24">
        <v>92109</v>
      </c>
      <c r="D9" s="198" t="s">
        <v>53</v>
      </c>
      <c r="E9" s="25" t="s">
        <v>765</v>
      </c>
      <c r="F9" s="87">
        <v>1500</v>
      </c>
    </row>
    <row r="10" spans="1:6" ht="30" customHeight="1">
      <c r="A10" s="349">
        <v>6</v>
      </c>
      <c r="B10" s="24">
        <v>921</v>
      </c>
      <c r="C10" s="24">
        <v>92116</v>
      </c>
      <c r="D10" s="25" t="s">
        <v>40</v>
      </c>
      <c r="E10" s="25" t="s">
        <v>43</v>
      </c>
      <c r="F10" s="87">
        <v>196000</v>
      </c>
    </row>
    <row r="11" spans="1:6" ht="25.5">
      <c r="A11" s="349">
        <v>7</v>
      </c>
      <c r="B11" s="24">
        <v>926</v>
      </c>
      <c r="C11" s="24">
        <v>92605</v>
      </c>
      <c r="D11" s="25" t="s">
        <v>40</v>
      </c>
      <c r="E11" s="25" t="s">
        <v>42</v>
      </c>
      <c r="F11" s="87">
        <f>13000+15000</f>
        <v>28000</v>
      </c>
    </row>
    <row r="12" spans="1:6" ht="25.5">
      <c r="A12" s="349">
        <v>8</v>
      </c>
      <c r="B12" s="24">
        <v>926</v>
      </c>
      <c r="C12" s="24">
        <v>92605</v>
      </c>
      <c r="D12" s="199" t="s">
        <v>53</v>
      </c>
      <c r="E12" s="195" t="s">
        <v>51</v>
      </c>
      <c r="F12" s="87">
        <v>90000</v>
      </c>
    </row>
    <row r="13" spans="1:6" ht="28.5" customHeight="1">
      <c r="A13" s="349">
        <v>9</v>
      </c>
      <c r="B13" s="24">
        <v>921</v>
      </c>
      <c r="C13" s="24">
        <v>92120</v>
      </c>
      <c r="D13" s="199" t="s">
        <v>53</v>
      </c>
      <c r="E13" s="195" t="s">
        <v>172</v>
      </c>
      <c r="F13" s="87">
        <v>25000</v>
      </c>
    </row>
    <row r="14" spans="1:6" ht="30" customHeight="1">
      <c r="A14" s="349">
        <v>10</v>
      </c>
      <c r="B14" s="30">
        <v>801</v>
      </c>
      <c r="C14" s="30">
        <v>80104</v>
      </c>
      <c r="D14" s="98" t="s">
        <v>171</v>
      </c>
      <c r="E14" s="98" t="s">
        <v>173</v>
      </c>
      <c r="F14" s="99">
        <f>18000+8000</f>
        <v>26000</v>
      </c>
    </row>
    <row r="15" spans="1:6" ht="30" customHeight="1">
      <c r="A15" s="349">
        <v>11</v>
      </c>
      <c r="B15" s="30">
        <v>801</v>
      </c>
      <c r="C15" s="30">
        <v>80104</v>
      </c>
      <c r="D15" s="98" t="s">
        <v>372</v>
      </c>
      <c r="E15" s="98" t="s">
        <v>373</v>
      </c>
      <c r="F15" s="99">
        <v>6000</v>
      </c>
    </row>
    <row r="16" spans="1:7" ht="25.5">
      <c r="A16" s="350">
        <v>12</v>
      </c>
      <c r="B16" s="30">
        <v>600</v>
      </c>
      <c r="C16" s="30">
        <v>60014</v>
      </c>
      <c r="D16" s="98" t="s">
        <v>696</v>
      </c>
      <c r="E16" s="98" t="s">
        <v>697</v>
      </c>
      <c r="F16" s="99">
        <v>75000</v>
      </c>
      <c r="G16" s="67">
        <f>SUM(F5:F16)</f>
        <v>700300</v>
      </c>
    </row>
    <row r="17" spans="1:6" ht="19.5" customHeight="1">
      <c r="A17" s="1153" t="s">
        <v>374</v>
      </c>
      <c r="B17" s="1154"/>
      <c r="C17" s="1154"/>
      <c r="D17" s="1154"/>
      <c r="E17" s="1154"/>
      <c r="F17" s="1155"/>
    </row>
    <row r="18" spans="1:7" ht="25.5">
      <c r="A18" s="351">
        <v>13</v>
      </c>
      <c r="B18" s="346" t="s">
        <v>13</v>
      </c>
      <c r="C18" s="346" t="s">
        <v>15</v>
      </c>
      <c r="D18" s="95" t="s">
        <v>38</v>
      </c>
      <c r="E18" s="783" t="s">
        <v>375</v>
      </c>
      <c r="F18" s="347">
        <v>6000</v>
      </c>
      <c r="G18" s="67"/>
    </row>
    <row r="19" spans="1:6" ht="25.5">
      <c r="A19" s="350">
        <v>14</v>
      </c>
      <c r="B19" s="780" t="s">
        <v>545</v>
      </c>
      <c r="C19" s="780" t="s">
        <v>621</v>
      </c>
      <c r="D19" s="781" t="s">
        <v>38</v>
      </c>
      <c r="E19" s="25" t="s">
        <v>760</v>
      </c>
      <c r="F19" s="782">
        <v>9500</v>
      </c>
    </row>
    <row r="20" spans="1:6" ht="25.5">
      <c r="A20" s="350">
        <v>15</v>
      </c>
      <c r="B20" s="780" t="s">
        <v>473</v>
      </c>
      <c r="C20" s="780" t="s">
        <v>526</v>
      </c>
      <c r="D20" s="781" t="s">
        <v>38</v>
      </c>
      <c r="E20" s="25" t="s">
        <v>761</v>
      </c>
      <c r="F20" s="782">
        <v>50000</v>
      </c>
    </row>
    <row r="21" spans="1:6" ht="25.5">
      <c r="A21" s="350">
        <v>16</v>
      </c>
      <c r="B21" s="780" t="s">
        <v>473</v>
      </c>
      <c r="C21" s="780" t="s">
        <v>526</v>
      </c>
      <c r="D21" s="781" t="s">
        <v>38</v>
      </c>
      <c r="E21" s="25" t="s">
        <v>762</v>
      </c>
      <c r="F21" s="782">
        <v>60000</v>
      </c>
    </row>
    <row r="22" spans="1:6" ht="25.5">
      <c r="A22" s="350">
        <v>17</v>
      </c>
      <c r="B22" s="780" t="s">
        <v>473</v>
      </c>
      <c r="C22" s="780" t="s">
        <v>526</v>
      </c>
      <c r="D22" s="781" t="s">
        <v>38</v>
      </c>
      <c r="E22" s="25" t="s">
        <v>763</v>
      </c>
      <c r="F22" s="782">
        <v>20000</v>
      </c>
    </row>
    <row r="23" spans="1:6" ht="25.5">
      <c r="A23" s="350">
        <v>18</v>
      </c>
      <c r="B23" s="780" t="s">
        <v>473</v>
      </c>
      <c r="C23" s="780" t="s">
        <v>526</v>
      </c>
      <c r="D23" s="781" t="s">
        <v>38</v>
      </c>
      <c r="E23" s="97" t="s">
        <v>764</v>
      </c>
      <c r="F23" s="782">
        <v>30000</v>
      </c>
    </row>
    <row r="24" spans="1:6" ht="30" customHeight="1">
      <c r="A24" s="350">
        <v>19</v>
      </c>
      <c r="B24" s="24">
        <v>921</v>
      </c>
      <c r="C24" s="24">
        <v>92109</v>
      </c>
      <c r="D24" s="25" t="s">
        <v>40</v>
      </c>
      <c r="E24" s="25" t="s">
        <v>759</v>
      </c>
      <c r="F24" s="87">
        <v>10000</v>
      </c>
    </row>
    <row r="25" spans="1:6" ht="30.75" customHeight="1">
      <c r="A25" s="350">
        <v>20</v>
      </c>
      <c r="B25" s="784" t="s">
        <v>473</v>
      </c>
      <c r="C25" s="784" t="s">
        <v>526</v>
      </c>
      <c r="D25" s="31" t="s">
        <v>698</v>
      </c>
      <c r="E25" s="195" t="s">
        <v>699</v>
      </c>
      <c r="F25" s="785">
        <v>50000</v>
      </c>
    </row>
    <row r="26" spans="1:6" ht="25.5">
      <c r="A26" s="350">
        <v>21</v>
      </c>
      <c r="B26" s="784" t="s">
        <v>13</v>
      </c>
      <c r="C26" s="784" t="s">
        <v>18</v>
      </c>
      <c r="D26" s="31" t="s">
        <v>371</v>
      </c>
      <c r="E26" s="195" t="s">
        <v>376</v>
      </c>
      <c r="F26" s="785">
        <v>60000</v>
      </c>
    </row>
    <row r="27" spans="1:6" ht="26.25" thickBot="1">
      <c r="A27" s="350">
        <v>22</v>
      </c>
      <c r="B27" s="30">
        <v>754</v>
      </c>
      <c r="C27" s="30">
        <v>75404</v>
      </c>
      <c r="D27" s="98" t="s">
        <v>700</v>
      </c>
      <c r="E27" s="98" t="s">
        <v>701</v>
      </c>
      <c r="F27" s="99">
        <v>30000</v>
      </c>
    </row>
    <row r="28" spans="1:6" ht="30" customHeight="1" thickBot="1">
      <c r="A28" s="1150"/>
      <c r="B28" s="1151"/>
      <c r="C28" s="1151"/>
      <c r="D28" s="1152"/>
      <c r="E28" s="196" t="s">
        <v>361</v>
      </c>
      <c r="F28" s="197">
        <f>SUM(F5:F16)+F18+F19+F20+F21+F22+F23+F24+F25+F26+F27</f>
        <v>1025800</v>
      </c>
    </row>
    <row r="29" ht="9" customHeight="1">
      <c r="G29" s="67"/>
    </row>
    <row r="30" ht="12.75" hidden="1"/>
    <row r="31" spans="3:7" ht="12.75">
      <c r="C31" s="38" t="s">
        <v>94</v>
      </c>
      <c r="G31" s="67"/>
    </row>
  </sheetData>
  <mergeCells count="3">
    <mergeCell ref="A1:F1"/>
    <mergeCell ref="A28:D28"/>
    <mergeCell ref="A17:F17"/>
  </mergeCells>
  <printOptions horizontalCentered="1"/>
  <pageMargins left="0.5511811023622047" right="0.5118110236220472" top="1.06" bottom="0.984251968503937" header="0.5118110236220472" footer="0.5118110236220472"/>
  <pageSetup horizontalDpi="600" verticalDpi="600" orientation="portrait" paperSize="9" scale="95" r:id="rId1"/>
  <headerFooter alignWithMargins="0">
    <oddHeader>&amp;R&amp;"Arial CE,Pogrubiony"Załącznik nr &amp;A&amp;"Arial CE,Standardowy"&amp;9
do Uchwały Rady Gminy Miłkowice Nr XXXV/181/2009
z dnia 30 stycznia 2009 roku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F14" sqref="F14"/>
    </sheetView>
  </sheetViews>
  <sheetFormatPr defaultColWidth="9.00390625" defaultRowHeight="12.75"/>
  <cols>
    <col min="1" max="1" width="5.25390625" style="1" bestFit="1" customWidth="1"/>
    <col min="2" max="2" width="61.00390625" style="1" customWidth="1"/>
    <col min="3" max="3" width="17.75390625" style="1" customWidth="1"/>
    <col min="4" max="16384" width="9.125" style="1" customWidth="1"/>
  </cols>
  <sheetData>
    <row r="1" spans="1:10" ht="19.5" customHeight="1">
      <c r="A1" s="922" t="s">
        <v>319</v>
      </c>
      <c r="B1" s="922"/>
      <c r="C1" s="922"/>
      <c r="D1" s="5"/>
      <c r="E1" s="5"/>
      <c r="F1" s="5"/>
      <c r="G1" s="5"/>
      <c r="H1" s="5"/>
      <c r="I1" s="5"/>
      <c r="J1" s="5"/>
    </row>
    <row r="2" spans="1:7" ht="19.5" customHeight="1">
      <c r="A2" s="922" t="s">
        <v>323</v>
      </c>
      <c r="B2" s="922"/>
      <c r="C2" s="922"/>
      <c r="D2" s="5"/>
      <c r="E2" s="5"/>
      <c r="F2" s="5"/>
      <c r="G2" s="5"/>
    </row>
    <row r="4" ht="12.75">
      <c r="C4" s="8" t="s">
        <v>321</v>
      </c>
    </row>
    <row r="5" spans="1:10" ht="19.5" customHeight="1">
      <c r="A5" s="13" t="s">
        <v>335</v>
      </c>
      <c r="B5" s="13" t="s">
        <v>283</v>
      </c>
      <c r="C5" s="13" t="s">
        <v>388</v>
      </c>
      <c r="D5" s="6"/>
      <c r="E5" s="6"/>
      <c r="F5" s="6"/>
      <c r="G5" s="6"/>
      <c r="H5" s="6"/>
      <c r="I5" s="7"/>
      <c r="J5" s="7"/>
    </row>
    <row r="6" spans="1:10" ht="19.5" customHeight="1">
      <c r="A6" s="21" t="s">
        <v>292</v>
      </c>
      <c r="B6" s="29" t="s">
        <v>336</v>
      </c>
      <c r="C6" s="873">
        <v>2629.43</v>
      </c>
      <c r="D6" s="6"/>
      <c r="E6" s="6"/>
      <c r="F6" s="6"/>
      <c r="G6" s="6"/>
      <c r="H6" s="6"/>
      <c r="I6" s="7"/>
      <c r="J6" s="7"/>
    </row>
    <row r="7" spans="1:10" ht="19.5" customHeight="1">
      <c r="A7" s="21" t="s">
        <v>296</v>
      </c>
      <c r="B7" s="29" t="s">
        <v>291</v>
      </c>
      <c r="C7" s="117">
        <f>C8</f>
        <v>7500</v>
      </c>
      <c r="D7" s="6"/>
      <c r="E7" s="6"/>
      <c r="F7" s="6"/>
      <c r="G7" s="6"/>
      <c r="H7" s="6"/>
      <c r="I7" s="7"/>
      <c r="J7" s="7"/>
    </row>
    <row r="8" spans="1:10" ht="19.5" customHeight="1">
      <c r="A8" s="202" t="s">
        <v>293</v>
      </c>
      <c r="B8" s="121" t="s">
        <v>71</v>
      </c>
      <c r="C8" s="206">
        <f>C9</f>
        <v>7500</v>
      </c>
      <c r="D8" s="6"/>
      <c r="E8" s="6"/>
      <c r="F8" s="6"/>
      <c r="G8" s="6"/>
      <c r="H8" s="6"/>
      <c r="I8" s="7"/>
      <c r="J8" s="7"/>
    </row>
    <row r="9" spans="1:10" ht="19.5" customHeight="1">
      <c r="A9" s="24"/>
      <c r="B9" s="122" t="s">
        <v>72</v>
      </c>
      <c r="C9" s="119">
        <f>C10</f>
        <v>7500</v>
      </c>
      <c r="D9" s="6"/>
      <c r="E9" s="6"/>
      <c r="F9" s="6"/>
      <c r="G9" s="6"/>
      <c r="H9" s="6"/>
      <c r="I9" s="7"/>
      <c r="J9" s="7"/>
    </row>
    <row r="10" spans="1:10" ht="19.5" customHeight="1">
      <c r="A10" s="26"/>
      <c r="B10" s="123" t="s">
        <v>73</v>
      </c>
      <c r="C10" s="120">
        <v>7500</v>
      </c>
      <c r="D10" s="6"/>
      <c r="E10" s="6"/>
      <c r="F10" s="6"/>
      <c r="G10" s="6"/>
      <c r="H10" s="6"/>
      <c r="I10" s="7"/>
      <c r="J10" s="7"/>
    </row>
    <row r="11" spans="1:10" ht="19.5" customHeight="1">
      <c r="A11" s="21" t="s">
        <v>297</v>
      </c>
      <c r="B11" s="29" t="s">
        <v>290</v>
      </c>
      <c r="C11" s="117">
        <f>C12+C17</f>
        <v>10000</v>
      </c>
      <c r="D11" s="6"/>
      <c r="E11" s="6"/>
      <c r="F11" s="6"/>
      <c r="G11" s="6"/>
      <c r="H11" s="6"/>
      <c r="I11" s="7"/>
      <c r="J11" s="7"/>
    </row>
    <row r="12" spans="1:10" ht="19.5" customHeight="1">
      <c r="A12" s="201" t="s">
        <v>293</v>
      </c>
      <c r="B12" s="200" t="s">
        <v>317</v>
      </c>
      <c r="C12" s="205">
        <f>C13+C17</f>
        <v>10000</v>
      </c>
      <c r="D12" s="6"/>
      <c r="E12" s="6"/>
      <c r="F12" s="6"/>
      <c r="G12" s="6"/>
      <c r="H12" s="6"/>
      <c r="I12" s="7"/>
      <c r="J12" s="7"/>
    </row>
    <row r="13" spans="1:10" ht="19.5" customHeight="1">
      <c r="A13" s="30"/>
      <c r="B13" s="121" t="s">
        <v>71</v>
      </c>
      <c r="C13" s="118">
        <f>C14</f>
        <v>10000</v>
      </c>
      <c r="D13" s="6"/>
      <c r="E13" s="6"/>
      <c r="F13" s="6"/>
      <c r="G13" s="6"/>
      <c r="H13" s="6"/>
      <c r="I13" s="7"/>
      <c r="J13" s="7"/>
    </row>
    <row r="14" spans="1:10" ht="19.5" customHeight="1">
      <c r="A14" s="24"/>
      <c r="B14" s="122" t="s">
        <v>72</v>
      </c>
      <c r="C14" s="119">
        <f>SUM(C15:C16)</f>
        <v>10000</v>
      </c>
      <c r="D14" s="6"/>
      <c r="E14" s="6"/>
      <c r="F14" s="6"/>
      <c r="G14" s="6"/>
      <c r="H14" s="6"/>
      <c r="I14" s="7"/>
      <c r="J14" s="7"/>
    </row>
    <row r="15" spans="1:10" ht="18" customHeight="1">
      <c r="A15" s="24"/>
      <c r="B15" s="122" t="s">
        <v>177</v>
      </c>
      <c r="C15" s="119">
        <v>2000</v>
      </c>
      <c r="D15" s="6"/>
      <c r="E15" s="6"/>
      <c r="F15" s="6"/>
      <c r="G15" s="6"/>
      <c r="H15" s="6"/>
      <c r="I15" s="7"/>
      <c r="J15" s="7"/>
    </row>
    <row r="16" spans="1:10" ht="18" customHeight="1">
      <c r="A16" s="24"/>
      <c r="B16" s="204" t="s">
        <v>178</v>
      </c>
      <c r="C16" s="120">
        <v>8000</v>
      </c>
      <c r="D16" s="6"/>
      <c r="E16" s="6"/>
      <c r="F16" s="6"/>
      <c r="G16" s="6"/>
      <c r="H16" s="6"/>
      <c r="I16" s="7"/>
      <c r="J16" s="7"/>
    </row>
    <row r="17" spans="1:10" ht="19.5" customHeight="1">
      <c r="A17" s="203" t="s">
        <v>294</v>
      </c>
      <c r="B17" s="122" t="s">
        <v>320</v>
      </c>
      <c r="C17" s="206">
        <v>0</v>
      </c>
      <c r="D17" s="6"/>
      <c r="E17" s="6"/>
      <c r="F17" s="6"/>
      <c r="G17" s="6"/>
      <c r="H17" s="6"/>
      <c r="I17" s="7"/>
      <c r="J17" s="7"/>
    </row>
    <row r="18" spans="1:10" ht="15">
      <c r="A18" s="24"/>
      <c r="B18" s="31"/>
      <c r="C18" s="119"/>
      <c r="D18" s="6"/>
      <c r="E18" s="6"/>
      <c r="F18" s="6"/>
      <c r="G18" s="6"/>
      <c r="H18" s="6"/>
      <c r="I18" s="7"/>
      <c r="J18" s="7"/>
    </row>
    <row r="19" spans="1:10" ht="15" customHeight="1">
      <c r="A19" s="26"/>
      <c r="B19" s="32"/>
      <c r="C19" s="120"/>
      <c r="D19" s="6"/>
      <c r="E19" s="6"/>
      <c r="F19" s="6"/>
      <c r="G19" s="6"/>
      <c r="H19" s="6"/>
      <c r="I19" s="7"/>
      <c r="J19" s="7"/>
    </row>
    <row r="20" spans="1:10" ht="19.5" customHeight="1">
      <c r="A20" s="21" t="s">
        <v>318</v>
      </c>
      <c r="B20" s="29" t="s">
        <v>337</v>
      </c>
      <c r="C20" s="873">
        <f>C6+C7-C11</f>
        <v>129.4300000000003</v>
      </c>
      <c r="D20" s="6"/>
      <c r="E20" s="6"/>
      <c r="F20" s="6"/>
      <c r="G20" s="6"/>
      <c r="H20" s="6"/>
      <c r="I20" s="7"/>
      <c r="J20" s="7"/>
    </row>
    <row r="21" spans="1:10" ht="15">
      <c r="A21" s="6"/>
      <c r="B21" s="6"/>
      <c r="C21" s="6"/>
      <c r="D21" s="6"/>
      <c r="E21" s="6"/>
      <c r="F21" s="6"/>
      <c r="G21" s="6"/>
      <c r="H21" s="6"/>
      <c r="I21" s="7"/>
      <c r="J21" s="7"/>
    </row>
    <row r="22" spans="1:10" ht="15">
      <c r="A22" s="6"/>
      <c r="B22" s="6"/>
      <c r="C22" s="6"/>
      <c r="D22" s="6"/>
      <c r="E22" s="6"/>
      <c r="F22" s="6"/>
      <c r="G22" s="6"/>
      <c r="H22" s="6"/>
      <c r="I22" s="7"/>
      <c r="J22" s="7"/>
    </row>
    <row r="23" spans="1:10" ht="15">
      <c r="A23" s="6"/>
      <c r="B23" s="38" t="s">
        <v>94</v>
      </c>
      <c r="C23" s="6"/>
      <c r="D23" s="6"/>
      <c r="E23" s="6"/>
      <c r="F23" s="6"/>
      <c r="G23" s="6"/>
      <c r="H23" s="6"/>
      <c r="I23" s="7"/>
      <c r="J23" s="7"/>
    </row>
    <row r="24" spans="1:10" ht="15">
      <c r="A24" s="6"/>
      <c r="B24" s="6"/>
      <c r="C24" s="6"/>
      <c r="D24" s="6"/>
      <c r="E24" s="6"/>
      <c r="F24" s="6"/>
      <c r="G24" s="6"/>
      <c r="H24" s="6"/>
      <c r="I24" s="7"/>
      <c r="J24" s="7"/>
    </row>
    <row r="25" spans="1:10" ht="15">
      <c r="A25" s="6"/>
      <c r="B25" s="6"/>
      <c r="C25" s="6"/>
      <c r="D25" s="6"/>
      <c r="E25" s="6"/>
      <c r="F25" s="6"/>
      <c r="G25" s="6"/>
      <c r="H25" s="6"/>
      <c r="I25" s="7"/>
      <c r="J25" s="7"/>
    </row>
    <row r="26" spans="1:10" ht="15">
      <c r="A26" s="6"/>
      <c r="B26" s="6"/>
      <c r="C26" s="6"/>
      <c r="D26" s="6"/>
      <c r="E26" s="6"/>
      <c r="F26" s="6"/>
      <c r="G26" s="6"/>
      <c r="H26" s="6"/>
      <c r="I26" s="7"/>
      <c r="J26" s="7"/>
    </row>
    <row r="27" spans="1:10" ht="1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5">
      <c r="A30" s="7"/>
      <c r="B30" s="7"/>
      <c r="C30" s="7"/>
      <c r="D30" s="7"/>
      <c r="E30" s="7"/>
      <c r="F30" s="7"/>
      <c r="G30" s="7"/>
      <c r="H30" s="7"/>
      <c r="I30" s="7"/>
      <c r="J30" s="7"/>
    </row>
  </sheetData>
  <mergeCells count="2">
    <mergeCell ref="A1:C1"/>
    <mergeCell ref="A2:C2"/>
  </mergeCells>
  <printOptions horizontalCentered="1"/>
  <pageMargins left="0.5905511811023623" right="0.5905511811023623" top="1.18" bottom="0.5905511811023623" header="0.5118110236220472" footer="0.5118110236220472"/>
  <pageSetup horizontalDpi="600" verticalDpi="600" orientation="portrait" paperSize="9" r:id="rId1"/>
  <headerFooter alignWithMargins="0">
    <oddHeader>&amp;R&amp;"Arial CE,Pogrubiony"Załącznik nr &amp;A&amp;"Arial CE,Standardowy"
 do Uchwały Rady Gminy Miłkowice Nr XXXV/181/2009
z dnia 30 stycznia 2009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6"/>
  <sheetViews>
    <sheetView showGridLines="0" tabSelected="1" zoomScale="75" zoomScaleNormal="75" workbookViewId="0" topLeftCell="A80">
      <selection activeCell="K89" sqref="K89"/>
    </sheetView>
  </sheetViews>
  <sheetFormatPr defaultColWidth="9.00390625" defaultRowHeight="12.75"/>
  <cols>
    <col min="1" max="1" width="6.00390625" style="1" customWidth="1"/>
    <col min="2" max="2" width="8.75390625" style="1" customWidth="1"/>
    <col min="3" max="3" width="43.875" style="1" customWidth="1"/>
    <col min="4" max="4" width="13.375" style="1" customWidth="1"/>
    <col min="5" max="5" width="13.25390625" style="1" customWidth="1"/>
    <col min="6" max="6" width="11.625" style="1" customWidth="1"/>
    <col min="7" max="7" width="11.875" style="1" customWidth="1"/>
    <col min="8" max="8" width="9.75390625" style="1" customWidth="1"/>
    <col min="9" max="9" width="11.125" style="1" customWidth="1"/>
    <col min="10" max="10" width="11.375" style="1" customWidth="1"/>
    <col min="11" max="11" width="12.625" style="1" customWidth="1"/>
    <col min="12" max="12" width="13.125" style="0" bestFit="1" customWidth="1"/>
  </cols>
  <sheetData>
    <row r="1" spans="1:11" ht="18.75" customHeight="1">
      <c r="A1" s="922" t="s">
        <v>134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</row>
    <row r="2" spans="1:11" ht="10.5" customHeight="1" thickBot="1">
      <c r="A2" s="36"/>
      <c r="B2" s="36"/>
      <c r="C2" s="36"/>
      <c r="D2" s="36"/>
      <c r="E2" s="36"/>
      <c r="G2" s="12"/>
      <c r="H2" s="12"/>
      <c r="I2" s="12"/>
      <c r="J2" s="12"/>
      <c r="K2" s="37" t="s">
        <v>334</v>
      </c>
    </row>
    <row r="3" spans="1:11" s="38" customFormat="1" ht="18.75" customHeight="1">
      <c r="A3" s="925" t="s">
        <v>285</v>
      </c>
      <c r="B3" s="927" t="s">
        <v>286</v>
      </c>
      <c r="C3" s="927" t="s">
        <v>298</v>
      </c>
      <c r="D3" s="923" t="s">
        <v>691</v>
      </c>
      <c r="E3" s="927" t="s">
        <v>343</v>
      </c>
      <c r="F3" s="927"/>
      <c r="G3" s="927"/>
      <c r="H3" s="927"/>
      <c r="I3" s="927"/>
      <c r="J3" s="927"/>
      <c r="K3" s="928"/>
    </row>
    <row r="4" spans="1:11" s="38" customFormat="1" ht="20.25" customHeight="1">
      <c r="A4" s="926"/>
      <c r="B4" s="916"/>
      <c r="C4" s="916"/>
      <c r="D4" s="924"/>
      <c r="E4" s="916" t="s">
        <v>692</v>
      </c>
      <c r="F4" s="916" t="s">
        <v>289</v>
      </c>
      <c r="G4" s="916"/>
      <c r="H4" s="916"/>
      <c r="I4" s="916"/>
      <c r="J4" s="916"/>
      <c r="K4" s="918" t="s">
        <v>320</v>
      </c>
    </row>
    <row r="5" spans="1:11" s="38" customFormat="1" ht="51">
      <c r="A5" s="926"/>
      <c r="B5" s="916"/>
      <c r="C5" s="916"/>
      <c r="D5" s="924"/>
      <c r="E5" s="916"/>
      <c r="F5" s="41" t="s">
        <v>568</v>
      </c>
      <c r="G5" s="41" t="s">
        <v>348</v>
      </c>
      <c r="H5" s="41" t="s">
        <v>365</v>
      </c>
      <c r="I5" s="41" t="s">
        <v>693</v>
      </c>
      <c r="J5" s="41" t="s">
        <v>127</v>
      </c>
      <c r="K5" s="918"/>
    </row>
    <row r="6" spans="1:11" s="38" customFormat="1" ht="6" customHeight="1" thickBot="1">
      <c r="A6" s="726">
        <v>1</v>
      </c>
      <c r="B6" s="239">
        <v>2</v>
      </c>
      <c r="C6" s="239">
        <v>3</v>
      </c>
      <c r="D6" s="252">
        <v>4</v>
      </c>
      <c r="E6" s="239">
        <v>5</v>
      </c>
      <c r="F6" s="239">
        <v>6</v>
      </c>
      <c r="G6" s="239">
        <v>7</v>
      </c>
      <c r="H6" s="239">
        <v>8</v>
      </c>
      <c r="I6" s="239"/>
      <c r="J6" s="239">
        <v>9</v>
      </c>
      <c r="K6" s="727">
        <v>10</v>
      </c>
    </row>
    <row r="7" spans="1:12" s="71" customFormat="1" ht="19.5" customHeight="1" thickBot="1">
      <c r="A7" s="242" t="s">
        <v>473</v>
      </c>
      <c r="B7" s="914" t="s">
        <v>475</v>
      </c>
      <c r="C7" s="915"/>
      <c r="D7" s="253">
        <f>SUM(D8:D11)</f>
        <v>1916450</v>
      </c>
      <c r="E7" s="240">
        <f>SUM(E8:E11)</f>
        <v>119050</v>
      </c>
      <c r="F7" s="240">
        <f>SUM(F8:F11)</f>
        <v>30156</v>
      </c>
      <c r="G7" s="240">
        <f>SUM(G8:G11)</f>
        <v>0</v>
      </c>
      <c r="H7" s="240">
        <f>SUM(H8:H11)</f>
        <v>0</v>
      </c>
      <c r="I7" s="240"/>
      <c r="J7" s="240">
        <f>SUM(J8:J11)</f>
        <v>88894</v>
      </c>
      <c r="K7" s="241">
        <f>SUM(K8:K11)</f>
        <v>1797400</v>
      </c>
      <c r="L7" s="135"/>
    </row>
    <row r="8" spans="1:12" s="74" customFormat="1" ht="19.5" customHeight="1">
      <c r="A8" s="728"/>
      <c r="B8" s="148" t="s">
        <v>570</v>
      </c>
      <c r="C8" s="142" t="s">
        <v>571</v>
      </c>
      <c r="D8" s="257">
        <f>E8+K8</f>
        <v>103044</v>
      </c>
      <c r="E8" s="264">
        <f>SUM(F8:J8)</f>
        <v>103044</v>
      </c>
      <c r="F8" s="150">
        <v>30156</v>
      </c>
      <c r="G8" s="150"/>
      <c r="H8" s="150"/>
      <c r="I8" s="150"/>
      <c r="J8" s="150">
        <f>65500+7388</f>
        <v>72888</v>
      </c>
      <c r="K8" s="729">
        <f>65500-65500</f>
        <v>0</v>
      </c>
      <c r="L8" s="135"/>
    </row>
    <row r="9" spans="1:12" s="74" customFormat="1" ht="19.5" customHeight="1">
      <c r="A9" s="730"/>
      <c r="B9" s="266" t="s">
        <v>526</v>
      </c>
      <c r="C9" s="719" t="s">
        <v>527</v>
      </c>
      <c r="D9" s="269">
        <f>E9+K9</f>
        <v>1797400</v>
      </c>
      <c r="E9" s="268">
        <f>SUM(F9:J9)</f>
        <v>0</v>
      </c>
      <c r="F9" s="268"/>
      <c r="G9" s="268"/>
      <c r="H9" s="268"/>
      <c r="I9" s="268"/>
      <c r="J9" s="268"/>
      <c r="K9" s="731">
        <f>97600+712400+610000+50000+50000+21000+60000+12400+134000+30000+20000</f>
        <v>1797400</v>
      </c>
      <c r="L9" s="720">
        <v>1797400</v>
      </c>
    </row>
    <row r="10" spans="1:12" s="74" customFormat="1" ht="19.5" customHeight="1">
      <c r="A10" s="730"/>
      <c r="B10" s="148" t="s">
        <v>572</v>
      </c>
      <c r="C10" s="149" t="s">
        <v>573</v>
      </c>
      <c r="D10" s="257">
        <f>E10+K10</f>
        <v>2006</v>
      </c>
      <c r="E10" s="268">
        <f>SUM(F10:J10)</f>
        <v>2006</v>
      </c>
      <c r="F10" s="150"/>
      <c r="G10" s="150"/>
      <c r="H10" s="150"/>
      <c r="I10" s="150"/>
      <c r="J10" s="150">
        <v>2006</v>
      </c>
      <c r="K10" s="729"/>
      <c r="L10" s="135"/>
    </row>
    <row r="11" spans="1:12" s="74" customFormat="1" ht="19.5" customHeight="1" thickBot="1">
      <c r="A11" s="732"/>
      <c r="B11" s="266" t="s">
        <v>574</v>
      </c>
      <c r="C11" s="267" t="s">
        <v>575</v>
      </c>
      <c r="D11" s="269">
        <f>E11+K11</f>
        <v>14000</v>
      </c>
      <c r="E11" s="268">
        <f>SUM(F11:J11)</f>
        <v>14000</v>
      </c>
      <c r="F11" s="268"/>
      <c r="G11" s="268"/>
      <c r="H11" s="268"/>
      <c r="I11" s="268"/>
      <c r="J11" s="268">
        <v>14000</v>
      </c>
      <c r="K11" s="731"/>
      <c r="L11" s="135"/>
    </row>
    <row r="12" spans="1:12" s="71" customFormat="1" ht="30" customHeight="1" thickBot="1">
      <c r="A12" s="242" t="s">
        <v>576</v>
      </c>
      <c r="B12" s="912" t="s">
        <v>478</v>
      </c>
      <c r="C12" s="913"/>
      <c r="D12" s="253">
        <f>D13</f>
        <v>1480000</v>
      </c>
      <c r="E12" s="240">
        <f aca="true" t="shared" si="0" ref="E12:K12">E13</f>
        <v>1480000</v>
      </c>
      <c r="F12" s="240">
        <f t="shared" si="0"/>
        <v>0</v>
      </c>
      <c r="G12" s="240">
        <f t="shared" si="0"/>
        <v>730000</v>
      </c>
      <c r="H12" s="240">
        <f t="shared" si="0"/>
        <v>0</v>
      </c>
      <c r="I12" s="240"/>
      <c r="J12" s="240">
        <f t="shared" si="0"/>
        <v>750000</v>
      </c>
      <c r="K12" s="241">
        <f t="shared" si="0"/>
        <v>0</v>
      </c>
      <c r="L12" s="135"/>
    </row>
    <row r="13" spans="1:12" s="74" customFormat="1" ht="21.75" customHeight="1" thickBot="1">
      <c r="A13" s="733"/>
      <c r="B13" s="148" t="s">
        <v>577</v>
      </c>
      <c r="C13" s="149" t="s">
        <v>479</v>
      </c>
      <c r="D13" s="257">
        <f>E13+K13</f>
        <v>1480000</v>
      </c>
      <c r="E13" s="150">
        <f>SUM(F13:J13)</f>
        <v>1480000</v>
      </c>
      <c r="F13" s="150"/>
      <c r="G13" s="150">
        <f>250000+250000+165000+25000+40000</f>
        <v>730000</v>
      </c>
      <c r="H13" s="150"/>
      <c r="I13" s="150"/>
      <c r="J13" s="150">
        <v>750000</v>
      </c>
      <c r="K13" s="729"/>
      <c r="L13" s="135"/>
    </row>
    <row r="14" spans="1:12" s="71" customFormat="1" ht="21" customHeight="1" thickBot="1">
      <c r="A14" s="242" t="s">
        <v>578</v>
      </c>
      <c r="B14" s="914" t="s">
        <v>579</v>
      </c>
      <c r="C14" s="915"/>
      <c r="D14" s="253">
        <f>SUM(D15:D16)</f>
        <v>1915737</v>
      </c>
      <c r="E14" s="240">
        <f aca="true" t="shared" si="1" ref="E14:K14">SUM(E15:E16)</f>
        <v>526933</v>
      </c>
      <c r="F14" s="240">
        <f t="shared" si="1"/>
        <v>35000</v>
      </c>
      <c r="G14" s="240">
        <f t="shared" si="1"/>
        <v>75000</v>
      </c>
      <c r="H14" s="240">
        <f t="shared" si="1"/>
        <v>0</v>
      </c>
      <c r="I14" s="240"/>
      <c r="J14" s="240">
        <f t="shared" si="1"/>
        <v>416933</v>
      </c>
      <c r="K14" s="241">
        <f t="shared" si="1"/>
        <v>1388804</v>
      </c>
      <c r="L14" s="135"/>
    </row>
    <row r="15" spans="1:12" s="74" customFormat="1" ht="19.5" customHeight="1">
      <c r="A15" s="728"/>
      <c r="B15" s="262" t="s">
        <v>35</v>
      </c>
      <c r="C15" s="263" t="s">
        <v>34</v>
      </c>
      <c r="D15" s="265">
        <f>E15+K15</f>
        <v>103933</v>
      </c>
      <c r="E15" s="264">
        <f>SUM(F15:J15)</f>
        <v>103933</v>
      </c>
      <c r="F15" s="264"/>
      <c r="G15" s="264">
        <v>75000</v>
      </c>
      <c r="H15" s="264"/>
      <c r="I15" s="264"/>
      <c r="J15" s="264">
        <f>2683+26250</f>
        <v>28933</v>
      </c>
      <c r="K15" s="734"/>
      <c r="L15" s="135"/>
    </row>
    <row r="16" spans="1:12" s="74" customFormat="1" ht="19.5" customHeight="1" thickBot="1">
      <c r="A16" s="732"/>
      <c r="B16" s="148" t="s">
        <v>580</v>
      </c>
      <c r="C16" s="149" t="s">
        <v>581</v>
      </c>
      <c r="D16" s="257">
        <f>E16+K16</f>
        <v>1811804</v>
      </c>
      <c r="E16" s="150">
        <f>SUM(F16:J16)</f>
        <v>423000</v>
      </c>
      <c r="F16" s="150">
        <v>35000</v>
      </c>
      <c r="G16" s="150"/>
      <c r="H16" s="150"/>
      <c r="I16" s="150"/>
      <c r="J16" s="150">
        <f>63000-50000+450000-75000</f>
        <v>388000</v>
      </c>
      <c r="K16" s="729">
        <v>1388804</v>
      </c>
      <c r="L16" s="135"/>
    </row>
    <row r="17" spans="1:12" s="71" customFormat="1" ht="18.75" customHeight="1" thickBot="1">
      <c r="A17" s="242" t="s">
        <v>582</v>
      </c>
      <c r="B17" s="914" t="s">
        <v>482</v>
      </c>
      <c r="C17" s="915"/>
      <c r="D17" s="253">
        <f>SUM(D18:D19)</f>
        <v>326633</v>
      </c>
      <c r="E17" s="240">
        <f aca="true" t="shared" si="2" ref="E17:K17">SUM(E18:E19)</f>
        <v>252233</v>
      </c>
      <c r="F17" s="240">
        <f t="shared" si="2"/>
        <v>0</v>
      </c>
      <c r="G17" s="240">
        <f t="shared" si="2"/>
        <v>0</v>
      </c>
      <c r="H17" s="240">
        <f t="shared" si="2"/>
        <v>0</v>
      </c>
      <c r="I17" s="240"/>
      <c r="J17" s="240">
        <f t="shared" si="2"/>
        <v>252233</v>
      </c>
      <c r="K17" s="241">
        <f t="shared" si="2"/>
        <v>74400</v>
      </c>
      <c r="L17" s="135"/>
    </row>
    <row r="18" spans="1:12" s="74" customFormat="1" ht="19.5" customHeight="1">
      <c r="A18" s="728"/>
      <c r="B18" s="262" t="s">
        <v>583</v>
      </c>
      <c r="C18" s="263" t="s">
        <v>584</v>
      </c>
      <c r="D18" s="265">
        <f>E18+K18</f>
        <v>318033</v>
      </c>
      <c r="E18" s="264">
        <f>SUM(F18:J18)</f>
        <v>243633</v>
      </c>
      <c r="F18" s="264"/>
      <c r="G18" s="264"/>
      <c r="H18" s="264"/>
      <c r="I18" s="264"/>
      <c r="J18" s="264">
        <v>243633</v>
      </c>
      <c r="K18" s="734">
        <f>64400+10000</f>
        <v>74400</v>
      </c>
      <c r="L18" s="135"/>
    </row>
    <row r="19" spans="1:12" s="74" customFormat="1" ht="19.5" customHeight="1" thickBot="1">
      <c r="A19" s="732"/>
      <c r="B19" s="148" t="s">
        <v>585</v>
      </c>
      <c r="C19" s="149" t="s">
        <v>476</v>
      </c>
      <c r="D19" s="257">
        <f>E19+K19</f>
        <v>8600</v>
      </c>
      <c r="E19" s="150">
        <f>SUM(F19:J19)</f>
        <v>8600</v>
      </c>
      <c r="F19" s="150"/>
      <c r="G19" s="150"/>
      <c r="H19" s="150"/>
      <c r="I19" s="150"/>
      <c r="J19" s="150">
        <v>8600</v>
      </c>
      <c r="K19" s="729"/>
      <c r="L19" s="135"/>
    </row>
    <row r="20" spans="1:12" s="71" customFormat="1" ht="21" customHeight="1" thickBot="1">
      <c r="A20" s="242" t="s">
        <v>586</v>
      </c>
      <c r="B20" s="914" t="s">
        <v>587</v>
      </c>
      <c r="C20" s="915"/>
      <c r="D20" s="240">
        <f>D21</f>
        <v>204642</v>
      </c>
      <c r="E20" s="240">
        <f aca="true" t="shared" si="3" ref="E20:K20">E21</f>
        <v>204642</v>
      </c>
      <c r="F20" s="240">
        <f t="shared" si="3"/>
        <v>1800</v>
      </c>
      <c r="G20" s="240">
        <f t="shared" si="3"/>
        <v>0</v>
      </c>
      <c r="H20" s="240">
        <f t="shared" si="3"/>
        <v>0</v>
      </c>
      <c r="I20" s="240">
        <f t="shared" si="3"/>
        <v>0</v>
      </c>
      <c r="J20" s="240">
        <f t="shared" si="3"/>
        <v>202842</v>
      </c>
      <c r="K20" s="241">
        <f t="shared" si="3"/>
        <v>0</v>
      </c>
      <c r="L20" s="135"/>
    </row>
    <row r="21" spans="1:12" s="74" customFormat="1" ht="18.75" customHeight="1" thickBot="1">
      <c r="A21" s="735"/>
      <c r="B21" s="262" t="s">
        <v>588</v>
      </c>
      <c r="C21" s="263" t="s">
        <v>589</v>
      </c>
      <c r="D21" s="265">
        <f>E21+K21</f>
        <v>204642</v>
      </c>
      <c r="E21" s="264">
        <f>SUM(F21:J21)</f>
        <v>204642</v>
      </c>
      <c r="F21" s="264">
        <v>1800</v>
      </c>
      <c r="G21" s="264"/>
      <c r="H21" s="264"/>
      <c r="I21" s="264"/>
      <c r="J21" s="264">
        <f>192842+10000</f>
        <v>202842</v>
      </c>
      <c r="K21" s="734"/>
      <c r="L21" s="135"/>
    </row>
    <row r="22" spans="1:12" s="71" customFormat="1" ht="21" customHeight="1" thickBot="1">
      <c r="A22" s="242" t="s">
        <v>590</v>
      </c>
      <c r="B22" s="914" t="s">
        <v>492</v>
      </c>
      <c r="C22" s="915"/>
      <c r="D22" s="240">
        <f aca="true" t="shared" si="4" ref="D22:K22">SUM(D23:D29)-D27</f>
        <v>2085074</v>
      </c>
      <c r="E22" s="240">
        <f t="shared" si="4"/>
        <v>2085074</v>
      </c>
      <c r="F22" s="240">
        <f t="shared" si="4"/>
        <v>1474778</v>
      </c>
      <c r="G22" s="240">
        <f t="shared" si="4"/>
        <v>0</v>
      </c>
      <c r="H22" s="240">
        <f t="shared" si="4"/>
        <v>0</v>
      </c>
      <c r="I22" s="240">
        <f t="shared" si="4"/>
        <v>0</v>
      </c>
      <c r="J22" s="240">
        <f t="shared" si="4"/>
        <v>610296</v>
      </c>
      <c r="K22" s="241">
        <f t="shared" si="4"/>
        <v>0</v>
      </c>
      <c r="L22" s="135"/>
    </row>
    <row r="23" spans="1:12" s="74" customFormat="1" ht="19.5" customHeight="1">
      <c r="A23" s="728"/>
      <c r="B23" s="721" t="s">
        <v>591</v>
      </c>
      <c r="C23" s="722" t="s">
        <v>531</v>
      </c>
      <c r="D23" s="723">
        <f>E23+K23</f>
        <v>69122</v>
      </c>
      <c r="E23" s="724">
        <f>SUM(F23:J23)</f>
        <v>69122</v>
      </c>
      <c r="F23" s="724">
        <v>69122</v>
      </c>
      <c r="G23" s="724"/>
      <c r="H23" s="724"/>
      <c r="I23" s="724"/>
      <c r="J23" s="724"/>
      <c r="K23" s="736"/>
      <c r="L23" s="135"/>
    </row>
    <row r="24" spans="1:12" s="74" customFormat="1" ht="20.25" customHeight="1">
      <c r="A24" s="728"/>
      <c r="B24" s="72" t="s">
        <v>592</v>
      </c>
      <c r="C24" s="75" t="s">
        <v>593</v>
      </c>
      <c r="D24" s="255">
        <f>E24+K24</f>
        <v>72000</v>
      </c>
      <c r="E24" s="73">
        <f>SUM(F24:J24)</f>
        <v>72000</v>
      </c>
      <c r="F24" s="73"/>
      <c r="G24" s="73"/>
      <c r="H24" s="73"/>
      <c r="I24" s="73"/>
      <c r="J24" s="73">
        <v>72000</v>
      </c>
      <c r="K24" s="737"/>
      <c r="L24" s="135"/>
    </row>
    <row r="25" spans="1:12" s="74" customFormat="1" ht="19.5" customHeight="1" thickBot="1">
      <c r="A25" s="738"/>
      <c r="B25" s="739" t="s">
        <v>594</v>
      </c>
      <c r="C25" s="740" t="s">
        <v>493</v>
      </c>
      <c r="D25" s="741">
        <f>E25+K25</f>
        <v>1848752</v>
      </c>
      <c r="E25" s="742">
        <f>SUM(F25:J25)</f>
        <v>1848752</v>
      </c>
      <c r="F25" s="742">
        <f>1545656-124000-14000-2000</f>
        <v>1405656</v>
      </c>
      <c r="G25" s="742"/>
      <c r="H25" s="742"/>
      <c r="I25" s="742"/>
      <c r="J25" s="742">
        <f>373396+8500-10000+70000+1200</f>
        <v>443096</v>
      </c>
      <c r="K25" s="743"/>
      <c r="L25" s="135"/>
    </row>
    <row r="26" spans="1:11" ht="26.25" customHeight="1" thickBot="1">
      <c r="A26" s="36"/>
      <c r="B26" s="36"/>
      <c r="C26" s="36"/>
      <c r="D26" s="36"/>
      <c r="E26" s="36"/>
      <c r="G26" s="12"/>
      <c r="H26" s="12"/>
      <c r="I26" s="12"/>
      <c r="J26" s="12"/>
      <c r="K26" s="37"/>
    </row>
    <row r="27" spans="1:11" s="38" customFormat="1" ht="6" customHeight="1">
      <c r="A27" s="744">
        <v>1</v>
      </c>
      <c r="B27" s="745">
        <v>2</v>
      </c>
      <c r="C27" s="745">
        <v>3</v>
      </c>
      <c r="D27" s="746">
        <v>4</v>
      </c>
      <c r="E27" s="745">
        <v>5</v>
      </c>
      <c r="F27" s="745">
        <v>6</v>
      </c>
      <c r="G27" s="745">
        <v>7</v>
      </c>
      <c r="H27" s="745">
        <v>8</v>
      </c>
      <c r="I27" s="745"/>
      <c r="J27" s="745">
        <v>9</v>
      </c>
      <c r="K27" s="747">
        <v>10</v>
      </c>
    </row>
    <row r="28" spans="1:12" s="74" customFormat="1" ht="23.25" customHeight="1">
      <c r="A28" s="732"/>
      <c r="B28" s="266" t="s">
        <v>595</v>
      </c>
      <c r="C28" s="267" t="s">
        <v>596</v>
      </c>
      <c r="D28" s="269">
        <f>E28+K28</f>
        <v>76600</v>
      </c>
      <c r="E28" s="268">
        <f>SUM(F28:J28)</f>
        <v>76600</v>
      </c>
      <c r="F28" s="268"/>
      <c r="G28" s="268"/>
      <c r="H28" s="268"/>
      <c r="I28" s="268"/>
      <c r="J28" s="268">
        <v>76600</v>
      </c>
      <c r="K28" s="731"/>
      <c r="L28" s="135"/>
    </row>
    <row r="29" spans="1:12" s="74" customFormat="1" ht="21" customHeight="1" thickBot="1">
      <c r="A29" s="748"/>
      <c r="B29" s="151" t="s">
        <v>158</v>
      </c>
      <c r="C29" s="152" t="s">
        <v>476</v>
      </c>
      <c r="D29" s="335">
        <f>E29+K29</f>
        <v>18600</v>
      </c>
      <c r="E29" s="153">
        <f>SUM(F29:J29)</f>
        <v>18600</v>
      </c>
      <c r="F29" s="153"/>
      <c r="G29" s="153">
        <f>24500-15000-9500</f>
        <v>0</v>
      </c>
      <c r="H29" s="153"/>
      <c r="I29" s="153"/>
      <c r="J29" s="153">
        <f>9100+9500</f>
        <v>18600</v>
      </c>
      <c r="K29" s="749"/>
      <c r="L29" s="135"/>
    </row>
    <row r="30" spans="1:12" s="71" customFormat="1" ht="45.75" customHeight="1" thickBot="1">
      <c r="A30" s="242" t="s">
        <v>597</v>
      </c>
      <c r="B30" s="912" t="s">
        <v>533</v>
      </c>
      <c r="C30" s="913"/>
      <c r="D30" s="253">
        <f>SUM(D31:D31)</f>
        <v>1000</v>
      </c>
      <c r="E30" s="240">
        <f>SUM(E31:E31)</f>
        <v>1000</v>
      </c>
      <c r="F30" s="240">
        <f>SUM(F31:F31)</f>
        <v>1000</v>
      </c>
      <c r="G30" s="240">
        <f>SUM(G31:G31)</f>
        <v>0</v>
      </c>
      <c r="H30" s="240">
        <f>SUM(H31:H31)</f>
        <v>0</v>
      </c>
      <c r="I30" s="240"/>
      <c r="J30" s="240">
        <f>SUM(J31:J31)</f>
        <v>0</v>
      </c>
      <c r="K30" s="241">
        <f>SUM(K31:K31)</f>
        <v>0</v>
      </c>
      <c r="L30" s="135"/>
    </row>
    <row r="31" spans="1:12" s="74" customFormat="1" ht="29.25" thickBot="1">
      <c r="A31" s="728"/>
      <c r="B31" s="262" t="s">
        <v>598</v>
      </c>
      <c r="C31" s="263" t="s">
        <v>599</v>
      </c>
      <c r="D31" s="265">
        <f>E31+K31</f>
        <v>1000</v>
      </c>
      <c r="E31" s="264">
        <f>SUM(F31:J31)</f>
        <v>1000</v>
      </c>
      <c r="F31" s="264">
        <v>1000</v>
      </c>
      <c r="G31" s="264"/>
      <c r="H31" s="264"/>
      <c r="I31" s="264"/>
      <c r="J31" s="264"/>
      <c r="K31" s="734"/>
      <c r="L31" s="135"/>
    </row>
    <row r="32" spans="1:12" s="71" customFormat="1" ht="30.75" customHeight="1" thickBot="1">
      <c r="A32" s="242" t="s">
        <v>600</v>
      </c>
      <c r="B32" s="912" t="s">
        <v>535</v>
      </c>
      <c r="C32" s="913"/>
      <c r="D32" s="253">
        <f>SUM(D33:D37)</f>
        <v>311994</v>
      </c>
      <c r="E32" s="240">
        <f aca="true" t="shared" si="5" ref="E32:K32">SUM(E33:E37)</f>
        <v>176594</v>
      </c>
      <c r="F32" s="240">
        <f t="shared" si="5"/>
        <v>40394</v>
      </c>
      <c r="G32" s="240">
        <f t="shared" si="5"/>
        <v>0</v>
      </c>
      <c r="H32" s="240">
        <f t="shared" si="5"/>
        <v>0</v>
      </c>
      <c r="I32" s="240"/>
      <c r="J32" s="240">
        <f>SUM(J33:J37)</f>
        <v>136200</v>
      </c>
      <c r="K32" s="241">
        <f t="shared" si="5"/>
        <v>135400</v>
      </c>
      <c r="L32" s="135"/>
    </row>
    <row r="33" spans="1:12" s="74" customFormat="1" ht="19.5" customHeight="1">
      <c r="A33" s="728"/>
      <c r="B33" s="141" t="s">
        <v>601</v>
      </c>
      <c r="C33" s="147" t="s">
        <v>602</v>
      </c>
      <c r="D33" s="254">
        <f>E33+K33</f>
        <v>4000</v>
      </c>
      <c r="E33" s="143">
        <f>SUM(F33:J33)</f>
        <v>4000</v>
      </c>
      <c r="F33" s="143"/>
      <c r="G33" s="143"/>
      <c r="H33" s="143"/>
      <c r="I33" s="143"/>
      <c r="J33" s="143">
        <v>4000</v>
      </c>
      <c r="K33" s="750"/>
      <c r="L33" s="135"/>
    </row>
    <row r="34" spans="1:12" s="74" customFormat="1" ht="19.5" customHeight="1">
      <c r="A34" s="728"/>
      <c r="B34" s="141" t="s">
        <v>710</v>
      </c>
      <c r="C34" s="147" t="s">
        <v>711</v>
      </c>
      <c r="D34" s="254">
        <f>E34+K34</f>
        <v>30000</v>
      </c>
      <c r="E34" s="143">
        <f>SUM(F34:J34)</f>
        <v>0</v>
      </c>
      <c r="F34" s="143"/>
      <c r="G34" s="143"/>
      <c r="H34" s="143"/>
      <c r="I34" s="143"/>
      <c r="J34" s="143"/>
      <c r="K34" s="750">
        <v>30000</v>
      </c>
      <c r="L34" s="135"/>
    </row>
    <row r="35" spans="1:12" s="74" customFormat="1" ht="19.5" customHeight="1">
      <c r="A35" s="730"/>
      <c r="B35" s="72" t="s">
        <v>603</v>
      </c>
      <c r="C35" s="75" t="s">
        <v>604</v>
      </c>
      <c r="D35" s="255">
        <f>E35+K35</f>
        <v>273994</v>
      </c>
      <c r="E35" s="143">
        <f>SUM(F35:J35)</f>
        <v>168594</v>
      </c>
      <c r="F35" s="73">
        <v>40394</v>
      </c>
      <c r="G35" s="73"/>
      <c r="H35" s="73"/>
      <c r="I35" s="73"/>
      <c r="J35" s="73">
        <v>128200</v>
      </c>
      <c r="K35" s="737">
        <f>60000+15400+30000</f>
        <v>105400</v>
      </c>
      <c r="L35" s="135"/>
    </row>
    <row r="36" spans="1:12" s="74" customFormat="1" ht="19.5" customHeight="1">
      <c r="A36" s="730"/>
      <c r="B36" s="72" t="s">
        <v>605</v>
      </c>
      <c r="C36" s="75" t="s">
        <v>536</v>
      </c>
      <c r="D36" s="255">
        <f>E36+K36</f>
        <v>1000</v>
      </c>
      <c r="E36" s="143">
        <f>SUM(F36:J36)</f>
        <v>1000</v>
      </c>
      <c r="F36" s="73"/>
      <c r="G36" s="73"/>
      <c r="H36" s="73"/>
      <c r="I36" s="73"/>
      <c r="J36" s="73">
        <v>1000</v>
      </c>
      <c r="K36" s="737"/>
      <c r="L36" s="135"/>
    </row>
    <row r="37" spans="1:12" s="74" customFormat="1" ht="19.5" customHeight="1" thickBot="1">
      <c r="A37" s="732"/>
      <c r="B37" s="144" t="s">
        <v>159</v>
      </c>
      <c r="C37" s="145" t="s">
        <v>151</v>
      </c>
      <c r="D37" s="256">
        <f>E37+K37</f>
        <v>3000</v>
      </c>
      <c r="E37" s="150">
        <f>SUM(F37:J37)</f>
        <v>3000</v>
      </c>
      <c r="F37" s="146"/>
      <c r="G37" s="146"/>
      <c r="H37" s="146"/>
      <c r="I37" s="146"/>
      <c r="J37" s="146">
        <v>3000</v>
      </c>
      <c r="K37" s="751"/>
      <c r="L37" s="135"/>
    </row>
    <row r="38" spans="1:12" s="71" customFormat="1" ht="63" customHeight="1" thickBot="1">
      <c r="A38" s="242" t="s">
        <v>606</v>
      </c>
      <c r="B38" s="912" t="s">
        <v>607</v>
      </c>
      <c r="C38" s="913"/>
      <c r="D38" s="253">
        <f>D39</f>
        <v>57710</v>
      </c>
      <c r="E38" s="240">
        <f aca="true" t="shared" si="6" ref="E38:K38">E39</f>
        <v>57710</v>
      </c>
      <c r="F38" s="240">
        <f t="shared" si="6"/>
        <v>33710</v>
      </c>
      <c r="G38" s="240">
        <f t="shared" si="6"/>
        <v>0</v>
      </c>
      <c r="H38" s="240">
        <f t="shared" si="6"/>
        <v>0</v>
      </c>
      <c r="I38" s="240"/>
      <c r="J38" s="240">
        <f t="shared" si="6"/>
        <v>24000</v>
      </c>
      <c r="K38" s="241">
        <f t="shared" si="6"/>
        <v>0</v>
      </c>
      <c r="L38" s="135"/>
    </row>
    <row r="39" spans="1:12" s="74" customFormat="1" ht="29.25" thickBot="1">
      <c r="A39" s="733"/>
      <c r="B39" s="148" t="s">
        <v>608</v>
      </c>
      <c r="C39" s="149" t="s">
        <v>609</v>
      </c>
      <c r="D39" s="257">
        <f>E39+K39</f>
        <v>57710</v>
      </c>
      <c r="E39" s="150">
        <f>SUM(F39:J39)</f>
        <v>57710</v>
      </c>
      <c r="F39" s="150">
        <v>33710</v>
      </c>
      <c r="G39" s="150"/>
      <c r="H39" s="150"/>
      <c r="I39" s="150"/>
      <c r="J39" s="150">
        <f>21000+3000</f>
        <v>24000</v>
      </c>
      <c r="K39" s="729"/>
      <c r="L39" s="135"/>
    </row>
    <row r="40" spans="1:12" s="71" customFormat="1" ht="23.25" customHeight="1" thickBot="1">
      <c r="A40" s="242" t="s">
        <v>610</v>
      </c>
      <c r="B40" s="912" t="s">
        <v>611</v>
      </c>
      <c r="C40" s="913"/>
      <c r="D40" s="253">
        <f>D41</f>
        <v>255000</v>
      </c>
      <c r="E40" s="240">
        <f aca="true" t="shared" si="7" ref="E40:K40">E41</f>
        <v>255000</v>
      </c>
      <c r="F40" s="240">
        <f t="shared" si="7"/>
        <v>0</v>
      </c>
      <c r="G40" s="240">
        <f t="shared" si="7"/>
        <v>0</v>
      </c>
      <c r="H40" s="240">
        <f t="shared" si="7"/>
        <v>250000</v>
      </c>
      <c r="I40" s="240"/>
      <c r="J40" s="240">
        <f t="shared" si="7"/>
        <v>5000</v>
      </c>
      <c r="K40" s="241">
        <f t="shared" si="7"/>
        <v>0</v>
      </c>
      <c r="L40" s="135"/>
    </row>
    <row r="41" spans="1:12" s="74" customFormat="1" ht="32.25" customHeight="1" thickBot="1">
      <c r="A41" s="733"/>
      <c r="B41" s="148" t="s">
        <v>612</v>
      </c>
      <c r="C41" s="149" t="s">
        <v>613</v>
      </c>
      <c r="D41" s="257">
        <f>E41+K41</f>
        <v>255000</v>
      </c>
      <c r="E41" s="150">
        <f>SUM(F41:J41)</f>
        <v>255000</v>
      </c>
      <c r="F41" s="150"/>
      <c r="G41" s="150"/>
      <c r="H41" s="150">
        <v>250000</v>
      </c>
      <c r="I41" s="150"/>
      <c r="J41" s="150">
        <v>5000</v>
      </c>
      <c r="K41" s="729"/>
      <c r="L41" s="135"/>
    </row>
    <row r="42" spans="1:12" s="71" customFormat="1" ht="26.25" customHeight="1" thickBot="1">
      <c r="A42" s="242" t="s">
        <v>614</v>
      </c>
      <c r="B42" s="912" t="s">
        <v>555</v>
      </c>
      <c r="C42" s="913"/>
      <c r="D42" s="253">
        <f>D43</f>
        <v>60000</v>
      </c>
      <c r="E42" s="240">
        <f aca="true" t="shared" si="8" ref="E42:K42">E43</f>
        <v>60000</v>
      </c>
      <c r="F42" s="240">
        <f t="shared" si="8"/>
        <v>0</v>
      </c>
      <c r="G42" s="240">
        <f t="shared" si="8"/>
        <v>0</v>
      </c>
      <c r="H42" s="240">
        <f t="shared" si="8"/>
        <v>0</v>
      </c>
      <c r="I42" s="240"/>
      <c r="J42" s="240">
        <f t="shared" si="8"/>
        <v>60000</v>
      </c>
      <c r="K42" s="241">
        <f t="shared" si="8"/>
        <v>0</v>
      </c>
      <c r="L42" s="135"/>
    </row>
    <row r="43" spans="1:12" s="74" customFormat="1" ht="19.5" customHeight="1" thickBot="1">
      <c r="A43" s="733"/>
      <c r="B43" s="148" t="s">
        <v>615</v>
      </c>
      <c r="C43" s="149" t="s">
        <v>616</v>
      </c>
      <c r="D43" s="257">
        <f>E43+K43</f>
        <v>60000</v>
      </c>
      <c r="E43" s="150">
        <f>SUM(F43:J43)</f>
        <v>60000</v>
      </c>
      <c r="F43" s="150"/>
      <c r="G43" s="150"/>
      <c r="H43" s="150"/>
      <c r="I43" s="150"/>
      <c r="J43" s="150">
        <f>45000+15000</f>
        <v>60000</v>
      </c>
      <c r="K43" s="729"/>
      <c r="L43" s="135"/>
    </row>
    <row r="44" spans="1:12" s="71" customFormat="1" ht="24" customHeight="1" thickBot="1">
      <c r="A44" s="242" t="s">
        <v>545</v>
      </c>
      <c r="B44" s="912" t="s">
        <v>556</v>
      </c>
      <c r="C44" s="913"/>
      <c r="D44" s="253">
        <f>D45+D50+D53+D54+D55+D56+D59</f>
        <v>3958963</v>
      </c>
      <c r="E44" s="240">
        <f>E45+E50+E53+E54+E55+E56+E59</f>
        <v>3949463</v>
      </c>
      <c r="F44" s="240">
        <f>F45+F50+F53+F54+F55+F56+F59</f>
        <v>2985225</v>
      </c>
      <c r="G44" s="240">
        <f>G45+G50+G53+G54+G55+G56+G59</f>
        <v>32000</v>
      </c>
      <c r="H44" s="240">
        <f>H45+H50+H53+H54+H55+H56+H59</f>
        <v>0</v>
      </c>
      <c r="I44" s="240"/>
      <c r="J44" s="240">
        <f>J45+J50+J53+J54+J55+J56+J59</f>
        <v>932238</v>
      </c>
      <c r="K44" s="241">
        <f>K45+K50+K53+K54+K55+K56+K59</f>
        <v>9500</v>
      </c>
      <c r="L44" s="135"/>
    </row>
    <row r="45" spans="1:12" s="74" customFormat="1" ht="21" customHeight="1">
      <c r="A45" s="728"/>
      <c r="B45" s="262" t="s">
        <v>546</v>
      </c>
      <c r="C45" s="263" t="s">
        <v>617</v>
      </c>
      <c r="D45" s="265">
        <f>SUM(D46:D47)</f>
        <v>2200232</v>
      </c>
      <c r="E45" s="264">
        <f aca="true" t="shared" si="9" ref="E45:K45">SUM(E46:E47)</f>
        <v>2200232</v>
      </c>
      <c r="F45" s="264">
        <f t="shared" si="9"/>
        <v>1770707</v>
      </c>
      <c r="G45" s="264">
        <f t="shared" si="9"/>
        <v>0</v>
      </c>
      <c r="H45" s="264">
        <f t="shared" si="9"/>
        <v>0</v>
      </c>
      <c r="I45" s="264"/>
      <c r="J45" s="264">
        <f t="shared" si="9"/>
        <v>429525</v>
      </c>
      <c r="K45" s="734">
        <f t="shared" si="9"/>
        <v>0</v>
      </c>
      <c r="L45" s="135"/>
    </row>
    <row r="46" spans="1:12" s="74" customFormat="1" ht="19.5" customHeight="1">
      <c r="A46" s="730"/>
      <c r="B46" s="141"/>
      <c r="C46" s="259" t="s">
        <v>135</v>
      </c>
      <c r="D46" s="261">
        <f>E46+K46</f>
        <v>1525089</v>
      </c>
      <c r="E46" s="249">
        <f>SUM(F46:J46)</f>
        <v>1525089</v>
      </c>
      <c r="F46" s="260">
        <v>1224129</v>
      </c>
      <c r="G46" s="260"/>
      <c r="H46" s="260"/>
      <c r="I46" s="260"/>
      <c r="J46" s="260">
        <v>300960</v>
      </c>
      <c r="K46" s="752"/>
      <c r="L46" s="135"/>
    </row>
    <row r="47" spans="1:12" s="74" customFormat="1" ht="22.5" customHeight="1" thickBot="1">
      <c r="A47" s="738"/>
      <c r="B47" s="739"/>
      <c r="C47" s="753" t="s">
        <v>618</v>
      </c>
      <c r="D47" s="754">
        <f>E47+K47</f>
        <v>675143</v>
      </c>
      <c r="E47" s="755">
        <f>SUM(F47:J47)</f>
        <v>675143</v>
      </c>
      <c r="F47" s="756">
        <v>546578</v>
      </c>
      <c r="G47" s="756"/>
      <c r="H47" s="756"/>
      <c r="I47" s="756"/>
      <c r="J47" s="756">
        <v>128565</v>
      </c>
      <c r="K47" s="757"/>
      <c r="L47" s="135"/>
    </row>
    <row r="48" spans="1:11" ht="6" customHeight="1" thickBot="1">
      <c r="A48" s="36"/>
      <c r="B48" s="36"/>
      <c r="C48" s="36"/>
      <c r="D48" s="36"/>
      <c r="E48" s="36"/>
      <c r="G48" s="12"/>
      <c r="H48" s="12"/>
      <c r="I48" s="12"/>
      <c r="J48" s="12"/>
      <c r="K48" s="37"/>
    </row>
    <row r="49" spans="1:11" s="38" customFormat="1" ht="6" customHeight="1">
      <c r="A49" s="744">
        <v>1</v>
      </c>
      <c r="B49" s="745">
        <v>2</v>
      </c>
      <c r="C49" s="745">
        <v>3</v>
      </c>
      <c r="D49" s="746">
        <v>4</v>
      </c>
      <c r="E49" s="745">
        <v>5</v>
      </c>
      <c r="F49" s="745">
        <v>6</v>
      </c>
      <c r="G49" s="745">
        <v>7</v>
      </c>
      <c r="H49" s="745">
        <v>8</v>
      </c>
      <c r="I49" s="745"/>
      <c r="J49" s="745">
        <v>9</v>
      </c>
      <c r="K49" s="747">
        <v>10</v>
      </c>
    </row>
    <row r="50" spans="1:12" s="74" customFormat="1" ht="21.75" customHeight="1">
      <c r="A50" s="728"/>
      <c r="B50" s="151" t="s">
        <v>619</v>
      </c>
      <c r="C50" s="152" t="s">
        <v>620</v>
      </c>
      <c r="D50" s="271">
        <f>SUM(D51:D52)</f>
        <v>209061</v>
      </c>
      <c r="E50" s="153">
        <f>SUM(E51:E52)</f>
        <v>209061</v>
      </c>
      <c r="F50" s="153">
        <f aca="true" t="shared" si="10" ref="F50:K50">SUM(F51:F52)</f>
        <v>155461</v>
      </c>
      <c r="G50" s="153">
        <f t="shared" si="10"/>
        <v>0</v>
      </c>
      <c r="H50" s="153">
        <f t="shared" si="10"/>
        <v>0</v>
      </c>
      <c r="I50" s="153"/>
      <c r="J50" s="153">
        <f t="shared" si="10"/>
        <v>53600</v>
      </c>
      <c r="K50" s="749">
        <f t="shared" si="10"/>
        <v>0</v>
      </c>
      <c r="L50" s="135"/>
    </row>
    <row r="51" spans="1:12" s="74" customFormat="1" ht="15.75">
      <c r="A51" s="730"/>
      <c r="B51" s="141"/>
      <c r="C51" s="259" t="s">
        <v>135</v>
      </c>
      <c r="D51" s="261">
        <f>E51+K51</f>
        <v>149240</v>
      </c>
      <c r="E51" s="249">
        <f aca="true" t="shared" si="11" ref="E51:E62">SUM(F51:J51)</f>
        <v>149240</v>
      </c>
      <c r="F51" s="260">
        <v>113270</v>
      </c>
      <c r="G51" s="260"/>
      <c r="H51" s="260"/>
      <c r="I51" s="260"/>
      <c r="J51" s="260">
        <v>35970</v>
      </c>
      <c r="K51" s="752"/>
      <c r="L51" s="135"/>
    </row>
    <row r="52" spans="1:12" s="74" customFormat="1" ht="17.25" customHeight="1">
      <c r="A52" s="748"/>
      <c r="B52" s="243"/>
      <c r="C52" s="245" t="s">
        <v>618</v>
      </c>
      <c r="D52" s="272">
        <f>E52+K52</f>
        <v>59821</v>
      </c>
      <c r="E52" s="248">
        <f t="shared" si="11"/>
        <v>59821</v>
      </c>
      <c r="F52" s="247">
        <v>42191</v>
      </c>
      <c r="G52" s="247"/>
      <c r="H52" s="247"/>
      <c r="I52" s="247"/>
      <c r="J52" s="247">
        <v>17630</v>
      </c>
      <c r="K52" s="758"/>
      <c r="L52" s="135"/>
    </row>
    <row r="53" spans="1:12" s="74" customFormat="1" ht="21.75" customHeight="1">
      <c r="A53" s="730"/>
      <c r="B53" s="266" t="s">
        <v>31</v>
      </c>
      <c r="C53" s="267" t="s">
        <v>32</v>
      </c>
      <c r="D53" s="269">
        <f>E53+K53</f>
        <v>32000</v>
      </c>
      <c r="E53" s="268">
        <f t="shared" si="11"/>
        <v>32000</v>
      </c>
      <c r="F53" s="268"/>
      <c r="G53" s="268">
        <f>24000+8000</f>
        <v>32000</v>
      </c>
      <c r="H53" s="268"/>
      <c r="I53" s="268"/>
      <c r="J53" s="268"/>
      <c r="K53" s="731"/>
      <c r="L53" s="135"/>
    </row>
    <row r="54" spans="1:12" s="74" customFormat="1" ht="21.75" customHeight="1">
      <c r="A54" s="730"/>
      <c r="B54" s="266" t="s">
        <v>548</v>
      </c>
      <c r="C54" s="267" t="s">
        <v>549</v>
      </c>
      <c r="D54" s="269">
        <f>E54+K54</f>
        <v>1306644</v>
      </c>
      <c r="E54" s="268">
        <f t="shared" si="11"/>
        <v>1306644</v>
      </c>
      <c r="F54" s="268">
        <v>1057017</v>
      </c>
      <c r="G54" s="268"/>
      <c r="H54" s="268"/>
      <c r="I54" s="268"/>
      <c r="J54" s="334">
        <v>249627</v>
      </c>
      <c r="K54" s="731"/>
      <c r="L54" s="135"/>
    </row>
    <row r="55" spans="1:12" s="74" customFormat="1" ht="21.75" customHeight="1">
      <c r="A55" s="730"/>
      <c r="B55" s="148" t="s">
        <v>621</v>
      </c>
      <c r="C55" s="149" t="s">
        <v>622</v>
      </c>
      <c r="D55" s="257">
        <f>E55+K55</f>
        <v>71706</v>
      </c>
      <c r="E55" s="268">
        <f t="shared" si="11"/>
        <v>62206</v>
      </c>
      <c r="F55" s="150">
        <v>1040</v>
      </c>
      <c r="G55" s="150"/>
      <c r="H55" s="150"/>
      <c r="I55" s="150"/>
      <c r="J55" s="150">
        <f>218944-165778+8000</f>
        <v>61166</v>
      </c>
      <c r="K55" s="729">
        <v>9500</v>
      </c>
      <c r="L55" s="135"/>
    </row>
    <row r="56" spans="1:12" s="74" customFormat="1" ht="19.5" customHeight="1">
      <c r="A56" s="730"/>
      <c r="B56" s="266" t="s">
        <v>33</v>
      </c>
      <c r="C56" s="267" t="s">
        <v>12</v>
      </c>
      <c r="D56" s="269">
        <f>SUM(D57:D58)</f>
        <v>15150</v>
      </c>
      <c r="E56" s="268">
        <f t="shared" si="11"/>
        <v>15150</v>
      </c>
      <c r="F56" s="268"/>
      <c r="G56" s="268"/>
      <c r="H56" s="268"/>
      <c r="I56" s="268"/>
      <c r="J56" s="268">
        <f>SUM(J57:J58)</f>
        <v>15150</v>
      </c>
      <c r="K56" s="731">
        <f>SUM(K57:K58)</f>
        <v>0</v>
      </c>
      <c r="L56" s="135"/>
    </row>
    <row r="57" spans="1:12" s="74" customFormat="1" ht="19.5" customHeight="1">
      <c r="A57" s="730"/>
      <c r="B57" s="141"/>
      <c r="C57" s="259" t="s">
        <v>135</v>
      </c>
      <c r="D57" s="261">
        <f>E57+K57</f>
        <v>12130</v>
      </c>
      <c r="E57" s="249">
        <f t="shared" si="11"/>
        <v>12130</v>
      </c>
      <c r="F57" s="260"/>
      <c r="G57" s="260"/>
      <c r="H57" s="260"/>
      <c r="I57" s="260"/>
      <c r="J57" s="260">
        <v>12130</v>
      </c>
      <c r="K57" s="752"/>
      <c r="L57" s="135"/>
    </row>
    <row r="58" spans="1:12" s="74" customFormat="1" ht="19.5" customHeight="1">
      <c r="A58" s="730"/>
      <c r="B58" s="72"/>
      <c r="C58" s="244" t="s">
        <v>618</v>
      </c>
      <c r="D58" s="258">
        <f>E58+K58</f>
        <v>3020</v>
      </c>
      <c r="E58" s="249">
        <f t="shared" si="11"/>
        <v>3020</v>
      </c>
      <c r="F58" s="246"/>
      <c r="G58" s="246"/>
      <c r="H58" s="246"/>
      <c r="I58" s="246"/>
      <c r="J58" s="246">
        <v>3020</v>
      </c>
      <c r="K58" s="759"/>
      <c r="L58" s="135"/>
    </row>
    <row r="59" spans="1:12" s="74" customFormat="1" ht="21" customHeight="1">
      <c r="A59" s="730"/>
      <c r="B59" s="266" t="s">
        <v>565</v>
      </c>
      <c r="C59" s="267" t="s">
        <v>476</v>
      </c>
      <c r="D59" s="269">
        <f>SUM(D60:D62)</f>
        <v>124170</v>
      </c>
      <c r="E59" s="268">
        <f t="shared" si="11"/>
        <v>124170</v>
      </c>
      <c r="F59" s="268">
        <f>SUM(F60:F62)</f>
        <v>1000</v>
      </c>
      <c r="G59" s="268"/>
      <c r="H59" s="268"/>
      <c r="I59" s="268"/>
      <c r="J59" s="268">
        <f>SUM(J60:J62)</f>
        <v>123170</v>
      </c>
      <c r="K59" s="731">
        <f>SUM(K60:K62)</f>
        <v>0</v>
      </c>
      <c r="L59" s="135"/>
    </row>
    <row r="60" spans="1:12" s="74" customFormat="1" ht="19.5" customHeight="1">
      <c r="A60" s="730"/>
      <c r="B60" s="141"/>
      <c r="C60" s="259" t="s">
        <v>135</v>
      </c>
      <c r="D60" s="261">
        <f>E60+K60</f>
        <v>17240</v>
      </c>
      <c r="E60" s="249">
        <f t="shared" si="11"/>
        <v>17240</v>
      </c>
      <c r="F60" s="260"/>
      <c r="G60" s="260"/>
      <c r="H60" s="260"/>
      <c r="I60" s="260"/>
      <c r="J60" s="260">
        <v>17240</v>
      </c>
      <c r="K60" s="752"/>
      <c r="L60" s="135"/>
    </row>
    <row r="61" spans="1:12" s="74" customFormat="1" ht="19.5" customHeight="1">
      <c r="A61" s="732"/>
      <c r="B61" s="144"/>
      <c r="C61" s="250" t="s">
        <v>618</v>
      </c>
      <c r="D61" s="270">
        <f>E61+K61</f>
        <v>12930</v>
      </c>
      <c r="E61" s="249">
        <f t="shared" si="11"/>
        <v>12930</v>
      </c>
      <c r="F61" s="251"/>
      <c r="G61" s="251"/>
      <c r="H61" s="251"/>
      <c r="I61" s="251"/>
      <c r="J61" s="251">
        <v>12930</v>
      </c>
      <c r="K61" s="760"/>
      <c r="L61" s="135"/>
    </row>
    <row r="62" spans="1:12" s="74" customFormat="1" ht="19.5" customHeight="1" thickBot="1">
      <c r="A62" s="748"/>
      <c r="B62" s="243"/>
      <c r="C62" s="245" t="s">
        <v>160</v>
      </c>
      <c r="D62" s="272">
        <f>E62+K62</f>
        <v>94000</v>
      </c>
      <c r="E62" s="248">
        <f t="shared" si="11"/>
        <v>94000</v>
      </c>
      <c r="F62" s="247">
        <v>1000</v>
      </c>
      <c r="G62" s="247"/>
      <c r="H62" s="247"/>
      <c r="I62" s="247"/>
      <c r="J62" s="247">
        <f>28000+65000</f>
        <v>93000</v>
      </c>
      <c r="K62" s="758"/>
      <c r="L62" s="135"/>
    </row>
    <row r="63" spans="1:12" s="71" customFormat="1" ht="25.5" customHeight="1" thickBot="1">
      <c r="A63" s="242" t="s">
        <v>623</v>
      </c>
      <c r="B63" s="912" t="s">
        <v>559</v>
      </c>
      <c r="C63" s="913"/>
      <c r="D63" s="253">
        <f>SUM(D64:D66)</f>
        <v>1375324</v>
      </c>
      <c r="E63" s="240">
        <f aca="true" t="shared" si="12" ref="E63:K63">SUM(E64:E66)</f>
        <v>75000</v>
      </c>
      <c r="F63" s="240">
        <f t="shared" si="12"/>
        <v>7500</v>
      </c>
      <c r="G63" s="240">
        <f t="shared" si="12"/>
        <v>31500</v>
      </c>
      <c r="H63" s="240">
        <f t="shared" si="12"/>
        <v>0</v>
      </c>
      <c r="I63" s="240"/>
      <c r="J63" s="240">
        <f t="shared" si="12"/>
        <v>36000</v>
      </c>
      <c r="K63" s="241">
        <f t="shared" si="12"/>
        <v>1300324</v>
      </c>
      <c r="L63" s="135"/>
    </row>
    <row r="64" spans="1:12" s="74" customFormat="1" ht="21.75" customHeight="1">
      <c r="A64" s="728"/>
      <c r="B64" s="148" t="s">
        <v>624</v>
      </c>
      <c r="C64" s="149" t="s">
        <v>560</v>
      </c>
      <c r="D64" s="257">
        <f>E64+K64</f>
        <v>1310324</v>
      </c>
      <c r="E64" s="268">
        <f>SUM(F64:J64)</f>
        <v>10000</v>
      </c>
      <c r="F64" s="150"/>
      <c r="G64" s="150">
        <v>10000</v>
      </c>
      <c r="H64" s="150"/>
      <c r="I64" s="150"/>
      <c r="J64" s="150"/>
      <c r="K64" s="729">
        <v>1300324</v>
      </c>
      <c r="L64" s="135"/>
    </row>
    <row r="65" spans="1:12" s="74" customFormat="1" ht="21.75" customHeight="1">
      <c r="A65" s="730"/>
      <c r="B65" s="266" t="s">
        <v>625</v>
      </c>
      <c r="C65" s="267" t="s">
        <v>626</v>
      </c>
      <c r="D65" s="269">
        <f>E65+K65</f>
        <v>2000</v>
      </c>
      <c r="E65" s="268">
        <f>SUM(F65:J65)</f>
        <v>2000</v>
      </c>
      <c r="F65" s="268"/>
      <c r="G65" s="268"/>
      <c r="H65" s="268"/>
      <c r="I65" s="268"/>
      <c r="J65" s="268">
        <v>2000</v>
      </c>
      <c r="K65" s="731"/>
      <c r="L65" s="135"/>
    </row>
    <row r="66" spans="1:12" s="74" customFormat="1" ht="21.75" customHeight="1" thickBot="1">
      <c r="A66" s="732"/>
      <c r="B66" s="148" t="s">
        <v>627</v>
      </c>
      <c r="C66" s="149" t="s">
        <v>628</v>
      </c>
      <c r="D66" s="257">
        <f>E66+K66</f>
        <v>63000</v>
      </c>
      <c r="E66" s="268">
        <f>SUM(F66:J66)</f>
        <v>63000</v>
      </c>
      <c r="F66" s="150">
        <v>7500</v>
      </c>
      <c r="G66" s="150">
        <v>21500</v>
      </c>
      <c r="H66" s="150"/>
      <c r="I66" s="150"/>
      <c r="J66" s="150">
        <v>34000</v>
      </c>
      <c r="K66" s="729"/>
      <c r="L66" s="135"/>
    </row>
    <row r="67" spans="1:12" s="71" customFormat="1" ht="26.25" customHeight="1" thickBot="1">
      <c r="A67" s="242" t="s">
        <v>629</v>
      </c>
      <c r="B67" s="912" t="s">
        <v>522</v>
      </c>
      <c r="C67" s="913"/>
      <c r="D67" s="253">
        <f aca="true" t="shared" si="13" ref="D67:K67">SUM(D68:D76)-D73</f>
        <v>3124778</v>
      </c>
      <c r="E67" s="253">
        <f t="shared" si="13"/>
        <v>3124778</v>
      </c>
      <c r="F67" s="253">
        <f t="shared" si="13"/>
        <v>526276</v>
      </c>
      <c r="G67" s="253">
        <f t="shared" si="13"/>
        <v>70000</v>
      </c>
      <c r="H67" s="253">
        <f t="shared" si="13"/>
        <v>0</v>
      </c>
      <c r="I67" s="253">
        <f t="shared" si="13"/>
        <v>0</v>
      </c>
      <c r="J67" s="253">
        <f t="shared" si="13"/>
        <v>2528502</v>
      </c>
      <c r="K67" s="253">
        <f t="shared" si="13"/>
        <v>0</v>
      </c>
      <c r="L67" s="135"/>
    </row>
    <row r="68" spans="1:12" s="74" customFormat="1" ht="21" customHeight="1">
      <c r="A68" s="728"/>
      <c r="B68" s="262" t="s">
        <v>630</v>
      </c>
      <c r="C68" s="263" t="s">
        <v>631</v>
      </c>
      <c r="D68" s="265">
        <f>E68+K68</f>
        <v>30000</v>
      </c>
      <c r="E68" s="268">
        <f aca="true" t="shared" si="14" ref="E68:E75">SUM(F68:J68)</f>
        <v>30000</v>
      </c>
      <c r="F68" s="264"/>
      <c r="G68" s="264"/>
      <c r="H68" s="264"/>
      <c r="I68" s="264"/>
      <c r="J68" s="264">
        <v>30000</v>
      </c>
      <c r="K68" s="734"/>
      <c r="L68" s="135"/>
    </row>
    <row r="69" spans="1:12" s="74" customFormat="1" ht="42.75">
      <c r="A69" s="730"/>
      <c r="B69" s="148" t="s">
        <v>632</v>
      </c>
      <c r="C69" s="149" t="s">
        <v>550</v>
      </c>
      <c r="D69" s="257">
        <f>E69+K69</f>
        <v>1737000</v>
      </c>
      <c r="E69" s="268">
        <f t="shared" si="14"/>
        <v>1737000</v>
      </c>
      <c r="F69" s="150">
        <v>54138</v>
      </c>
      <c r="G69" s="150"/>
      <c r="H69" s="150"/>
      <c r="I69" s="150"/>
      <c r="J69" s="150">
        <v>1682862</v>
      </c>
      <c r="K69" s="729"/>
      <c r="L69" s="135"/>
    </row>
    <row r="70" spans="1:12" s="74" customFormat="1" ht="54.75" customHeight="1">
      <c r="A70" s="748"/>
      <c r="B70" s="266" t="s">
        <v>633</v>
      </c>
      <c r="C70" s="802" t="s">
        <v>551</v>
      </c>
      <c r="D70" s="269">
        <f>E70+K70</f>
        <v>17000</v>
      </c>
      <c r="E70" s="268">
        <f t="shared" si="14"/>
        <v>17000</v>
      </c>
      <c r="F70" s="268"/>
      <c r="G70" s="268"/>
      <c r="H70" s="268"/>
      <c r="I70" s="268"/>
      <c r="J70" s="268">
        <v>17000</v>
      </c>
      <c r="K70" s="731"/>
      <c r="L70" s="135"/>
    </row>
    <row r="71" spans="1:12" s="74" customFormat="1" ht="29.25" thickBot="1">
      <c r="A71" s="761"/>
      <c r="B71" s="762" t="s">
        <v>634</v>
      </c>
      <c r="C71" s="763" t="s">
        <v>552</v>
      </c>
      <c r="D71" s="335">
        <f>E71+K71</f>
        <v>503000</v>
      </c>
      <c r="E71" s="764">
        <f>SUM(F71:J71)</f>
        <v>503000</v>
      </c>
      <c r="F71" s="764"/>
      <c r="G71" s="764"/>
      <c r="H71" s="764"/>
      <c r="I71" s="764"/>
      <c r="J71" s="764">
        <v>503000</v>
      </c>
      <c r="K71" s="765"/>
      <c r="L71" s="135"/>
    </row>
    <row r="72" spans="1:11" ht="9.75" customHeight="1" thickBot="1">
      <c r="A72" s="36"/>
      <c r="B72" s="36"/>
      <c r="C72" s="36"/>
      <c r="D72" s="36"/>
      <c r="E72" s="36"/>
      <c r="G72" s="12"/>
      <c r="H72" s="12"/>
      <c r="I72" s="12"/>
      <c r="J72" s="12"/>
      <c r="K72" s="37"/>
    </row>
    <row r="73" spans="1:11" s="38" customFormat="1" ht="6" customHeight="1">
      <c r="A73" s="744">
        <v>1</v>
      </c>
      <c r="B73" s="745">
        <v>2</v>
      </c>
      <c r="C73" s="745">
        <v>3</v>
      </c>
      <c r="D73" s="746">
        <v>4</v>
      </c>
      <c r="E73" s="745">
        <v>5</v>
      </c>
      <c r="F73" s="745">
        <v>6</v>
      </c>
      <c r="G73" s="745">
        <v>7</v>
      </c>
      <c r="H73" s="745">
        <v>8</v>
      </c>
      <c r="I73" s="745"/>
      <c r="J73" s="745">
        <v>9</v>
      </c>
      <c r="K73" s="747">
        <v>10</v>
      </c>
    </row>
    <row r="74" spans="1:12" s="74" customFormat="1" ht="22.5" customHeight="1">
      <c r="A74" s="730"/>
      <c r="B74" s="266" t="s">
        <v>635</v>
      </c>
      <c r="C74" s="267" t="s">
        <v>636</v>
      </c>
      <c r="D74" s="269">
        <f>E74+K74</f>
        <v>68000</v>
      </c>
      <c r="E74" s="268">
        <f t="shared" si="14"/>
        <v>68000</v>
      </c>
      <c r="F74" s="268"/>
      <c r="G74" s="268"/>
      <c r="H74" s="268"/>
      <c r="I74" s="268"/>
      <c r="J74" s="268">
        <v>68000</v>
      </c>
      <c r="K74" s="731"/>
      <c r="L74" s="135"/>
    </row>
    <row r="75" spans="1:12" s="74" customFormat="1" ht="22.5" customHeight="1">
      <c r="A75" s="730"/>
      <c r="B75" s="148" t="s">
        <v>637</v>
      </c>
      <c r="C75" s="149" t="s">
        <v>523</v>
      </c>
      <c r="D75" s="257">
        <f>E75+K75</f>
        <v>515278</v>
      </c>
      <c r="E75" s="268">
        <f t="shared" si="14"/>
        <v>515278</v>
      </c>
      <c r="F75" s="150">
        <v>472138</v>
      </c>
      <c r="G75" s="150"/>
      <c r="H75" s="150"/>
      <c r="I75" s="150"/>
      <c r="J75" s="150">
        <v>43140</v>
      </c>
      <c r="K75" s="729"/>
      <c r="L75" s="135"/>
    </row>
    <row r="76" spans="1:12" s="74" customFormat="1" ht="22.5" customHeight="1">
      <c r="A76" s="730"/>
      <c r="B76" s="266" t="s">
        <v>638</v>
      </c>
      <c r="C76" s="267" t="s">
        <v>476</v>
      </c>
      <c r="D76" s="269">
        <f>E76+K76</f>
        <v>254500</v>
      </c>
      <c r="E76" s="268">
        <f>SUM(E77:E78)</f>
        <v>254500</v>
      </c>
      <c r="F76" s="268"/>
      <c r="G76" s="268">
        <f>SUM(G77:G78)</f>
        <v>70000</v>
      </c>
      <c r="H76" s="268"/>
      <c r="I76" s="268"/>
      <c r="J76" s="268">
        <f>SUM(J77:J78)</f>
        <v>184500</v>
      </c>
      <c r="K76" s="731"/>
      <c r="L76" s="135"/>
    </row>
    <row r="77" spans="1:12" s="74" customFormat="1" ht="19.5" customHeight="1">
      <c r="A77" s="733"/>
      <c r="B77" s="148"/>
      <c r="C77" s="273" t="s">
        <v>218</v>
      </c>
      <c r="D77" s="275">
        <f>E77+K77</f>
        <v>183000</v>
      </c>
      <c r="E77" s="249">
        <f>SUM(F77:J77)</f>
        <v>183000</v>
      </c>
      <c r="F77" s="274"/>
      <c r="G77" s="274"/>
      <c r="H77" s="274"/>
      <c r="I77" s="274"/>
      <c r="J77" s="274">
        <v>183000</v>
      </c>
      <c r="K77" s="766"/>
      <c r="L77" s="135"/>
    </row>
    <row r="78" spans="1:12" s="74" customFormat="1" ht="15.75" customHeight="1" thickBot="1">
      <c r="A78" s="748"/>
      <c r="B78" s="243"/>
      <c r="C78" s="245" t="s">
        <v>160</v>
      </c>
      <c r="D78" s="272">
        <f>E78+K78</f>
        <v>71500</v>
      </c>
      <c r="E78" s="248">
        <f>SUM(F78:J78)</f>
        <v>71500</v>
      </c>
      <c r="F78" s="247"/>
      <c r="G78" s="247">
        <v>70000</v>
      </c>
      <c r="H78" s="247"/>
      <c r="I78" s="247"/>
      <c r="J78" s="247">
        <v>1500</v>
      </c>
      <c r="K78" s="758"/>
      <c r="L78" s="135"/>
    </row>
    <row r="79" spans="1:12" s="71" customFormat="1" ht="26.25" customHeight="1" thickBot="1">
      <c r="A79" s="242" t="s">
        <v>639</v>
      </c>
      <c r="B79" s="912" t="s">
        <v>561</v>
      </c>
      <c r="C79" s="913"/>
      <c r="D79" s="253">
        <f>SUM(D80:D81)</f>
        <v>13600</v>
      </c>
      <c r="E79" s="240">
        <f>SUM(E80:E81)</f>
        <v>13600</v>
      </c>
      <c r="F79" s="240">
        <f>SUM(F80:F81)</f>
        <v>0</v>
      </c>
      <c r="G79" s="240">
        <f>SUM(G80:G81)</f>
        <v>0</v>
      </c>
      <c r="H79" s="240">
        <f>SUM(H80:H81)</f>
        <v>0</v>
      </c>
      <c r="I79" s="240"/>
      <c r="J79" s="240">
        <f>SUM(J80:J81)</f>
        <v>13600</v>
      </c>
      <c r="K79" s="241">
        <f>SUM(K80:K81)</f>
        <v>0</v>
      </c>
      <c r="L79" s="135"/>
    </row>
    <row r="80" spans="1:12" s="74" customFormat="1" ht="19.5" customHeight="1">
      <c r="A80" s="728"/>
      <c r="B80" s="151" t="s">
        <v>645</v>
      </c>
      <c r="C80" s="152" t="s">
        <v>646</v>
      </c>
      <c r="D80" s="271">
        <f>E80+K80</f>
        <v>3600</v>
      </c>
      <c r="E80" s="268">
        <f>SUM(F80:J80)</f>
        <v>3600</v>
      </c>
      <c r="F80" s="153"/>
      <c r="G80" s="153"/>
      <c r="H80" s="153"/>
      <c r="I80" s="153"/>
      <c r="J80" s="153">
        <v>3600</v>
      </c>
      <c r="K80" s="749"/>
      <c r="L80" s="135"/>
    </row>
    <row r="81" spans="1:12" s="74" customFormat="1" ht="35.25" customHeight="1" thickBot="1">
      <c r="A81" s="728"/>
      <c r="B81" s="266" t="s">
        <v>647</v>
      </c>
      <c r="C81" s="161" t="s">
        <v>11</v>
      </c>
      <c r="D81" s="269">
        <f>E81+K81</f>
        <v>10000</v>
      </c>
      <c r="E81" s="268">
        <f>SUM(F81:J81)</f>
        <v>10000</v>
      </c>
      <c r="F81" s="268"/>
      <c r="G81" s="268"/>
      <c r="H81" s="268"/>
      <c r="I81" s="268"/>
      <c r="J81" s="268">
        <v>10000</v>
      </c>
      <c r="K81" s="731"/>
      <c r="L81" s="135"/>
    </row>
    <row r="82" spans="1:12" s="71" customFormat="1" ht="30.75" customHeight="1" thickBot="1">
      <c r="A82" s="242" t="s">
        <v>13</v>
      </c>
      <c r="B82" s="912" t="s">
        <v>562</v>
      </c>
      <c r="C82" s="913"/>
      <c r="D82" s="253">
        <f>SUM(D83:D87)</f>
        <v>507301</v>
      </c>
      <c r="E82" s="240">
        <f>SUM(E83:E87)</f>
        <v>276941</v>
      </c>
      <c r="F82" s="240">
        <f>SUM(F83:F87)</f>
        <v>0</v>
      </c>
      <c r="G82" s="240">
        <f>SUM(G83:G87)</f>
        <v>0</v>
      </c>
      <c r="H82" s="240">
        <f>SUM(H83:H87)</f>
        <v>0</v>
      </c>
      <c r="I82" s="240"/>
      <c r="J82" s="240">
        <f>SUM(J83:J87)</f>
        <v>276941</v>
      </c>
      <c r="K82" s="241">
        <f>SUM(K83:K87)</f>
        <v>230360</v>
      </c>
      <c r="L82" s="135"/>
    </row>
    <row r="83" spans="1:12" s="74" customFormat="1" ht="19.5" customHeight="1">
      <c r="A83" s="728"/>
      <c r="B83" s="266" t="s">
        <v>15</v>
      </c>
      <c r="C83" s="267" t="s">
        <v>16</v>
      </c>
      <c r="D83" s="269">
        <f>E83+K83</f>
        <v>16500</v>
      </c>
      <c r="E83" s="268">
        <f>SUM(F83:J83)</f>
        <v>10500</v>
      </c>
      <c r="F83" s="268"/>
      <c r="G83" s="268"/>
      <c r="H83" s="268"/>
      <c r="I83" s="268"/>
      <c r="J83" s="268">
        <v>10500</v>
      </c>
      <c r="K83" s="731">
        <v>6000</v>
      </c>
      <c r="L83" s="135"/>
    </row>
    <row r="84" spans="1:12" s="74" customFormat="1" ht="20.25" customHeight="1">
      <c r="A84" s="730"/>
      <c r="B84" s="148" t="s">
        <v>17</v>
      </c>
      <c r="C84" s="149" t="s">
        <v>14</v>
      </c>
      <c r="D84" s="257">
        <f>E84+K84</f>
        <v>150000</v>
      </c>
      <c r="E84" s="268">
        <f>SUM(F84:J84)</f>
        <v>1500</v>
      </c>
      <c r="F84" s="150"/>
      <c r="G84" s="150"/>
      <c r="H84" s="150"/>
      <c r="I84" s="150"/>
      <c r="J84" s="150">
        <v>1500</v>
      </c>
      <c r="K84" s="729">
        <v>148500</v>
      </c>
      <c r="L84" s="135"/>
    </row>
    <row r="85" spans="1:12" s="74" customFormat="1" ht="19.5" customHeight="1">
      <c r="A85" s="730"/>
      <c r="B85" s="266" t="s">
        <v>161</v>
      </c>
      <c r="C85" s="267" t="s">
        <v>150</v>
      </c>
      <c r="D85" s="269">
        <f>E85+K85</f>
        <v>22660</v>
      </c>
      <c r="E85" s="268">
        <f>SUM(F85:J85)</f>
        <v>6800</v>
      </c>
      <c r="F85" s="268"/>
      <c r="G85" s="268"/>
      <c r="H85" s="268"/>
      <c r="I85" s="268"/>
      <c r="J85" s="268">
        <v>6800</v>
      </c>
      <c r="K85" s="731">
        <v>15860</v>
      </c>
      <c r="L85" s="135"/>
    </row>
    <row r="86" spans="1:12" s="74" customFormat="1" ht="19.5" customHeight="1">
      <c r="A86" s="730"/>
      <c r="B86" s="266" t="s">
        <v>29</v>
      </c>
      <c r="C86" s="267" t="s">
        <v>30</v>
      </c>
      <c r="D86" s="269">
        <f>E86+K86</f>
        <v>250000</v>
      </c>
      <c r="E86" s="268">
        <f>SUM(F86:J86)</f>
        <v>250000</v>
      </c>
      <c r="F86" s="268"/>
      <c r="G86" s="268"/>
      <c r="H86" s="268"/>
      <c r="I86" s="268"/>
      <c r="J86" s="268">
        <f>222000+28000</f>
        <v>250000</v>
      </c>
      <c r="K86" s="731"/>
      <c r="L86" s="135"/>
    </row>
    <row r="87" spans="1:12" s="74" customFormat="1" ht="19.5" customHeight="1" thickBot="1">
      <c r="A87" s="732"/>
      <c r="B87" s="148" t="s">
        <v>18</v>
      </c>
      <c r="C87" s="149" t="s">
        <v>19</v>
      </c>
      <c r="D87" s="257">
        <f>E87+K87</f>
        <v>68141</v>
      </c>
      <c r="E87" s="268">
        <f>SUM(F87:J87)</f>
        <v>8141</v>
      </c>
      <c r="F87" s="150"/>
      <c r="G87" s="767"/>
      <c r="H87" s="150"/>
      <c r="I87" s="150"/>
      <c r="J87" s="150">
        <f>7141+1000</f>
        <v>8141</v>
      </c>
      <c r="K87" s="729">
        <v>60000</v>
      </c>
      <c r="L87" s="135"/>
    </row>
    <row r="88" spans="1:12" s="71" customFormat="1" ht="29.25" customHeight="1" thickBot="1">
      <c r="A88" s="242" t="s">
        <v>20</v>
      </c>
      <c r="B88" s="912" t="s">
        <v>563</v>
      </c>
      <c r="C88" s="913"/>
      <c r="D88" s="253">
        <f>SUM(D89:D92)</f>
        <v>863800</v>
      </c>
      <c r="E88" s="240">
        <f aca="true" t="shared" si="15" ref="E88:K88">SUM(E89:E92)</f>
        <v>398800</v>
      </c>
      <c r="F88" s="240">
        <f t="shared" si="15"/>
        <v>0</v>
      </c>
      <c r="G88" s="240">
        <f t="shared" si="15"/>
        <v>373800</v>
      </c>
      <c r="H88" s="240">
        <f t="shared" si="15"/>
        <v>0</v>
      </c>
      <c r="I88" s="240"/>
      <c r="J88" s="240">
        <f t="shared" si="15"/>
        <v>25000</v>
      </c>
      <c r="K88" s="241">
        <f t="shared" si="15"/>
        <v>465000</v>
      </c>
      <c r="L88" s="135"/>
    </row>
    <row r="89" spans="1:12" s="74" customFormat="1" ht="19.5" customHeight="1">
      <c r="A89" s="728"/>
      <c r="B89" s="148" t="s">
        <v>21</v>
      </c>
      <c r="C89" s="149" t="s">
        <v>564</v>
      </c>
      <c r="D89" s="257">
        <f>E89+K89</f>
        <v>211800</v>
      </c>
      <c r="E89" s="264">
        <f>SUM(F89:J89)</f>
        <v>152800</v>
      </c>
      <c r="F89" s="150"/>
      <c r="G89" s="150">
        <f>150000+2800</f>
        <v>152800</v>
      </c>
      <c r="H89" s="150"/>
      <c r="I89" s="150"/>
      <c r="J89" s="150"/>
      <c r="K89" s="729">
        <f>10000+15000+30000+4000</f>
        <v>59000</v>
      </c>
      <c r="L89" s="135"/>
    </row>
    <row r="90" spans="1:12" s="74" customFormat="1" ht="19.5" customHeight="1">
      <c r="A90" s="730"/>
      <c r="B90" s="266" t="s">
        <v>22</v>
      </c>
      <c r="C90" s="267" t="s">
        <v>567</v>
      </c>
      <c r="D90" s="269">
        <f>E90+K90</f>
        <v>602000</v>
      </c>
      <c r="E90" s="268">
        <f>SUM(F90:J90)</f>
        <v>196000</v>
      </c>
      <c r="F90" s="268"/>
      <c r="G90" s="268">
        <v>196000</v>
      </c>
      <c r="H90" s="268"/>
      <c r="I90" s="268"/>
      <c r="J90" s="268"/>
      <c r="K90" s="731">
        <v>406000</v>
      </c>
      <c r="L90" s="135"/>
    </row>
    <row r="91" spans="1:12" s="74" customFormat="1" ht="19.5" customHeight="1">
      <c r="A91" s="732"/>
      <c r="B91" s="266" t="s">
        <v>23</v>
      </c>
      <c r="C91" s="267" t="s">
        <v>24</v>
      </c>
      <c r="D91" s="269">
        <f>E91+K91</f>
        <v>25000</v>
      </c>
      <c r="E91" s="268">
        <f>SUM(F91:J91)</f>
        <v>25000</v>
      </c>
      <c r="F91" s="268"/>
      <c r="G91" s="268">
        <v>25000</v>
      </c>
      <c r="H91" s="268"/>
      <c r="I91" s="268"/>
      <c r="J91" s="268"/>
      <c r="K91" s="731"/>
      <c r="L91" s="135"/>
    </row>
    <row r="92" spans="1:12" s="74" customFormat="1" ht="19.5" customHeight="1" thickBot="1">
      <c r="A92" s="732"/>
      <c r="B92" s="148" t="s">
        <v>201</v>
      </c>
      <c r="C92" s="149" t="s">
        <v>476</v>
      </c>
      <c r="D92" s="257">
        <f>E92+K92</f>
        <v>25000</v>
      </c>
      <c r="E92" s="268">
        <f>SUM(F92:J92)</f>
        <v>25000</v>
      </c>
      <c r="F92" s="150"/>
      <c r="G92" s="150"/>
      <c r="H92" s="150"/>
      <c r="I92" s="150"/>
      <c r="J92" s="150">
        <v>25000</v>
      </c>
      <c r="K92" s="729"/>
      <c r="L92" s="135"/>
    </row>
    <row r="93" spans="1:12" s="71" customFormat="1" ht="19.5" customHeight="1" thickBot="1">
      <c r="A93" s="242" t="s">
        <v>25</v>
      </c>
      <c r="B93" s="912" t="s">
        <v>26</v>
      </c>
      <c r="C93" s="913"/>
      <c r="D93" s="253">
        <f>SUM(D94:D95)</f>
        <v>573500</v>
      </c>
      <c r="E93" s="344">
        <f aca="true" t="shared" si="16" ref="E93:K93">SUM(E94:E95)</f>
        <v>119500</v>
      </c>
      <c r="F93" s="240">
        <f t="shared" si="16"/>
        <v>0</v>
      </c>
      <c r="G93" s="240">
        <f t="shared" si="16"/>
        <v>118000</v>
      </c>
      <c r="H93" s="240">
        <f t="shared" si="16"/>
        <v>0</v>
      </c>
      <c r="I93" s="240"/>
      <c r="J93" s="240">
        <f t="shared" si="16"/>
        <v>1500</v>
      </c>
      <c r="K93" s="241">
        <f t="shared" si="16"/>
        <v>454000</v>
      </c>
      <c r="L93" s="135"/>
    </row>
    <row r="94" spans="1:12" s="74" customFormat="1" ht="19.5" customHeight="1">
      <c r="A94" s="728"/>
      <c r="B94" s="262" t="s">
        <v>162</v>
      </c>
      <c r="C94" s="263" t="s">
        <v>147</v>
      </c>
      <c r="D94" s="265">
        <f>E94+K94</f>
        <v>454000</v>
      </c>
      <c r="E94" s="264">
        <f>SUM(F94:J94)</f>
        <v>0</v>
      </c>
      <c r="F94" s="264"/>
      <c r="G94" s="264"/>
      <c r="H94" s="264"/>
      <c r="I94" s="264"/>
      <c r="J94" s="264"/>
      <c r="K94" s="734">
        <f>404000+35000+15000</f>
        <v>454000</v>
      </c>
      <c r="L94" s="135"/>
    </row>
    <row r="95" spans="1:12" s="74" customFormat="1" ht="19.5" customHeight="1" thickBot="1">
      <c r="A95" s="733"/>
      <c r="B95" s="148" t="s">
        <v>27</v>
      </c>
      <c r="C95" s="149" t="s">
        <v>28</v>
      </c>
      <c r="D95" s="257">
        <f>E95+K95</f>
        <v>119500</v>
      </c>
      <c r="E95" s="150">
        <f>SUM(F95:J95)</f>
        <v>119500</v>
      </c>
      <c r="F95" s="150"/>
      <c r="G95" s="150">
        <f>103000+15000</f>
        <v>118000</v>
      </c>
      <c r="H95" s="150"/>
      <c r="I95" s="150"/>
      <c r="J95" s="150">
        <v>1500</v>
      </c>
      <c r="K95" s="729"/>
      <c r="L95" s="135"/>
    </row>
    <row r="96" spans="1:12" s="85" customFormat="1" ht="24.75" customHeight="1" thickBot="1">
      <c r="A96" s="919" t="s">
        <v>349</v>
      </c>
      <c r="B96" s="920"/>
      <c r="C96" s="921"/>
      <c r="D96" s="725">
        <f aca="true" t="shared" si="17" ref="D96:K96">D93+D88+D82+D79+D67+D63+D44+D42+D40+D38+D32+D30+D22+D20+D17+D14+D12+D7</f>
        <v>19031506</v>
      </c>
      <c r="E96" s="725">
        <f t="shared" si="17"/>
        <v>13176318</v>
      </c>
      <c r="F96" s="725">
        <f t="shared" si="17"/>
        <v>5135839</v>
      </c>
      <c r="G96" s="725">
        <f t="shared" si="17"/>
        <v>1430300</v>
      </c>
      <c r="H96" s="725">
        <f t="shared" si="17"/>
        <v>250000</v>
      </c>
      <c r="I96" s="725">
        <f t="shared" si="17"/>
        <v>0</v>
      </c>
      <c r="J96" s="725">
        <f t="shared" si="17"/>
        <v>6360179</v>
      </c>
      <c r="K96" s="725">
        <f t="shared" si="17"/>
        <v>5855188</v>
      </c>
      <c r="L96" s="135"/>
    </row>
    <row r="97" spans="4:12" ht="12.75" customHeight="1">
      <c r="D97" s="276"/>
      <c r="E97" s="67"/>
      <c r="F97" s="67"/>
      <c r="G97" s="67"/>
      <c r="H97" s="67"/>
      <c r="I97" s="67"/>
      <c r="J97" s="67"/>
      <c r="K97" s="67"/>
      <c r="L97" s="84"/>
    </row>
    <row r="98" spans="1:12" ht="12.75" customHeight="1">
      <c r="A98" s="46"/>
      <c r="C98" s="38" t="s">
        <v>94</v>
      </c>
      <c r="D98" s="336"/>
      <c r="E98" s="76"/>
      <c r="F98" s="76"/>
      <c r="G98" s="76"/>
      <c r="H98" s="340"/>
      <c r="I98" s="340"/>
      <c r="J98" s="76"/>
      <c r="K98" s="76"/>
      <c r="L98" s="337"/>
    </row>
    <row r="99" spans="4:12" ht="12.75" customHeight="1">
      <c r="D99" s="336"/>
      <c r="E99" s="76"/>
      <c r="F99" s="76"/>
      <c r="G99" s="76"/>
      <c r="H99" s="76"/>
      <c r="I99" s="76"/>
      <c r="J99" s="76"/>
      <c r="K99" s="76"/>
      <c r="L99" s="337"/>
    </row>
    <row r="100" spans="4:12" ht="12.75" customHeight="1">
      <c r="D100" s="336"/>
      <c r="E100" s="339"/>
      <c r="F100" s="339"/>
      <c r="G100" s="339"/>
      <c r="H100" s="339"/>
      <c r="I100" s="339"/>
      <c r="J100" s="339"/>
      <c r="K100" s="339"/>
      <c r="L100" s="337"/>
    </row>
    <row r="101" spans="4:12" ht="12.75" customHeight="1">
      <c r="D101" s="338"/>
      <c r="E101" s="338"/>
      <c r="F101" s="338"/>
      <c r="G101" s="338"/>
      <c r="H101" s="341"/>
      <c r="I101" s="341"/>
      <c r="J101" s="338"/>
      <c r="K101" s="338"/>
      <c r="L101" s="337"/>
    </row>
    <row r="102" spans="4:11" ht="12.75">
      <c r="D102" s="1" t="s">
        <v>714</v>
      </c>
      <c r="E102" s="67">
        <f>D60+D57+D54+D51+D46</f>
        <v>3010343</v>
      </c>
      <c r="F102" s="342"/>
      <c r="G102" s="342"/>
      <c r="H102" s="342"/>
      <c r="I102" s="342"/>
      <c r="J102" s="342"/>
      <c r="K102" s="342"/>
    </row>
    <row r="103" spans="4:5" ht="12.75">
      <c r="D103" s="1" t="s">
        <v>715</v>
      </c>
      <c r="E103" s="67">
        <f>D47+D52+D58+D61</f>
        <v>750914</v>
      </c>
    </row>
    <row r="104" spans="4:5" ht="12.75">
      <c r="D104" s="1" t="s">
        <v>716</v>
      </c>
      <c r="E104" s="67">
        <f>D68+D69+D70+D71+D74+D75+D77</f>
        <v>3053278</v>
      </c>
    </row>
    <row r="105" spans="5:9" ht="20.25" customHeight="1">
      <c r="E105" s="67">
        <f>D96-E102-E103-E104</f>
        <v>12216971</v>
      </c>
      <c r="F105" s="1" t="s">
        <v>717</v>
      </c>
      <c r="G105" s="917"/>
      <c r="H105" s="917"/>
      <c r="I105" s="595"/>
    </row>
    <row r="106" ht="15">
      <c r="G106" s="345"/>
    </row>
  </sheetData>
  <mergeCells count="29">
    <mergeCell ref="G105:H105"/>
    <mergeCell ref="K4:K5"/>
    <mergeCell ref="A96:C96"/>
    <mergeCell ref="A1:K1"/>
    <mergeCell ref="D3:D5"/>
    <mergeCell ref="A3:A5"/>
    <mergeCell ref="C3:C5"/>
    <mergeCell ref="B3:B5"/>
    <mergeCell ref="E3:K3"/>
    <mergeCell ref="F4:J4"/>
    <mergeCell ref="E4:E5"/>
    <mergeCell ref="B63:C63"/>
    <mergeCell ref="B44:C44"/>
    <mergeCell ref="B14:C14"/>
    <mergeCell ref="B12:C12"/>
    <mergeCell ref="B7:C7"/>
    <mergeCell ref="B30:C30"/>
    <mergeCell ref="B22:C22"/>
    <mergeCell ref="B20:C20"/>
    <mergeCell ref="B82:C82"/>
    <mergeCell ref="B88:C88"/>
    <mergeCell ref="B93:C93"/>
    <mergeCell ref="B17:C17"/>
    <mergeCell ref="B42:C42"/>
    <mergeCell ref="B40:C40"/>
    <mergeCell ref="B32:C32"/>
    <mergeCell ref="B38:C38"/>
    <mergeCell ref="B79:C79"/>
    <mergeCell ref="B67:C67"/>
  </mergeCells>
  <printOptions horizontalCentered="1"/>
  <pageMargins left="0.1968503937007874" right="0.1968503937007874" top="0.83" bottom="0.49" header="0.31496062992125984" footer="0.31496062992125984"/>
  <pageSetup horizontalDpi="600" verticalDpi="600" orientation="landscape" paperSize="9" scale="95" r:id="rId1"/>
  <headerFooter alignWithMargins="0">
    <oddHeader>&amp;R&amp;"Arial CE,Pogrubiony"Załącznik nr &amp;A&amp;"Arial CE,Standardowy"
&amp;9do Uchwały Rady Gminy  Miłkowice Nr XXXV/181/2009
z dnia 30 stycznia 2009 roku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1"/>
  <dimension ref="A1:M96"/>
  <sheetViews>
    <sheetView zoomScale="83" zoomScaleNormal="83" workbookViewId="0" topLeftCell="A76">
      <selection activeCell="B84" sqref="B84"/>
    </sheetView>
  </sheetViews>
  <sheetFormatPr defaultColWidth="9.00390625" defaultRowHeight="18.75" customHeight="1"/>
  <cols>
    <col min="1" max="1" width="4.25390625" style="471" customWidth="1"/>
    <col min="2" max="2" width="49.375" style="471" customWidth="1"/>
    <col min="3" max="3" width="11.00390625" style="471" customWidth="1"/>
    <col min="4" max="4" width="12.625" style="472" customWidth="1"/>
    <col min="5" max="5" width="14.25390625" style="471" bestFit="1" customWidth="1"/>
    <col min="6" max="6" width="14.25390625" style="471" customWidth="1"/>
    <col min="7" max="7" width="11.625" style="471" customWidth="1"/>
    <col min="8" max="8" width="13.875" style="471" customWidth="1"/>
    <col min="9" max="9" width="12.625" style="471" customWidth="1"/>
    <col min="10" max="10" width="10.00390625" style="471" hidden="1" customWidth="1"/>
    <col min="11" max="11" width="13.375" style="471" customWidth="1"/>
    <col min="12" max="12" width="13.75390625" style="471" customWidth="1"/>
    <col min="13" max="13" width="4.125" style="471" customWidth="1"/>
    <col min="14" max="16384" width="6.75390625" style="471" customWidth="1"/>
  </cols>
  <sheetData>
    <row r="1" spans="1:13" s="414" customFormat="1" ht="21" customHeight="1">
      <c r="A1" s="979" t="s">
        <v>238</v>
      </c>
      <c r="B1" s="979"/>
      <c r="C1" s="979"/>
      <c r="D1" s="979"/>
      <c r="E1" s="979"/>
      <c r="F1" s="979"/>
      <c r="G1" s="979"/>
      <c r="H1" s="979"/>
      <c r="I1" s="979"/>
      <c r="J1" s="979"/>
      <c r="K1" s="979"/>
      <c r="L1" s="979"/>
      <c r="M1" s="413"/>
    </row>
    <row r="2" spans="2:13" s="415" customFormat="1" ht="12" customHeight="1" thickBot="1">
      <c r="B2" s="416"/>
      <c r="D2" s="416"/>
      <c r="L2" s="417" t="s">
        <v>321</v>
      </c>
      <c r="M2" s="418"/>
    </row>
    <row r="3" spans="1:13" s="419" customFormat="1" ht="14.25" customHeight="1">
      <c r="A3" s="953" t="s">
        <v>335</v>
      </c>
      <c r="B3" s="941" t="s">
        <v>452</v>
      </c>
      <c r="C3" s="941" t="s">
        <v>74</v>
      </c>
      <c r="D3" s="962" t="s">
        <v>93</v>
      </c>
      <c r="E3" s="941" t="s">
        <v>248</v>
      </c>
      <c r="F3" s="943" t="s">
        <v>75</v>
      </c>
      <c r="G3" s="944"/>
      <c r="H3" s="944"/>
      <c r="I3" s="945"/>
      <c r="J3" s="343"/>
      <c r="K3" s="343"/>
      <c r="L3" s="946" t="s">
        <v>239</v>
      </c>
      <c r="M3" s="418"/>
    </row>
    <row r="4" spans="1:13" s="419" customFormat="1" ht="14.25" customHeight="1">
      <c r="A4" s="954"/>
      <c r="B4" s="942"/>
      <c r="C4" s="942"/>
      <c r="D4" s="963"/>
      <c r="E4" s="942"/>
      <c r="F4" s="949" t="s">
        <v>84</v>
      </c>
      <c r="G4" s="949" t="s">
        <v>76</v>
      </c>
      <c r="H4" s="949"/>
      <c r="I4" s="949"/>
      <c r="J4" s="420"/>
      <c r="K4" s="420"/>
      <c r="L4" s="947"/>
      <c r="M4" s="418"/>
    </row>
    <row r="5" spans="1:13" s="419" customFormat="1" ht="14.25" customHeight="1">
      <c r="A5" s="954"/>
      <c r="B5" s="942"/>
      <c r="C5" s="942"/>
      <c r="D5" s="963"/>
      <c r="E5" s="942"/>
      <c r="F5" s="950"/>
      <c r="G5" s="933" t="s">
        <v>451</v>
      </c>
      <c r="H5" s="933" t="s">
        <v>249</v>
      </c>
      <c r="I5" s="933" t="s">
        <v>85</v>
      </c>
      <c r="J5" s="421" t="s">
        <v>113</v>
      </c>
      <c r="K5" s="933" t="s">
        <v>157</v>
      </c>
      <c r="L5" s="947"/>
      <c r="M5" s="418"/>
    </row>
    <row r="6" spans="1:13" s="419" customFormat="1" ht="14.25" customHeight="1">
      <c r="A6" s="954"/>
      <c r="B6" s="942"/>
      <c r="C6" s="942"/>
      <c r="D6" s="963"/>
      <c r="E6" s="942"/>
      <c r="F6" s="950"/>
      <c r="G6" s="934"/>
      <c r="H6" s="934"/>
      <c r="I6" s="934"/>
      <c r="J6" s="422"/>
      <c r="K6" s="934"/>
      <c r="L6" s="947"/>
      <c r="M6" s="418"/>
    </row>
    <row r="7" spans="1:13" s="419" customFormat="1" ht="15" customHeight="1">
      <c r="A7" s="954"/>
      <c r="B7" s="942"/>
      <c r="C7" s="942"/>
      <c r="D7" s="963"/>
      <c r="E7" s="942"/>
      <c r="F7" s="950"/>
      <c r="G7" s="934"/>
      <c r="H7" s="934"/>
      <c r="I7" s="934"/>
      <c r="J7" s="422"/>
      <c r="K7" s="935"/>
      <c r="L7" s="948"/>
      <c r="M7" s="418"/>
    </row>
    <row r="8" spans="1:13" s="428" customFormat="1" ht="10.5" customHeight="1" thickBot="1">
      <c r="A8" s="423">
        <v>1</v>
      </c>
      <c r="B8" s="424">
        <v>2</v>
      </c>
      <c r="C8" s="424">
        <v>3</v>
      </c>
      <c r="D8" s="425">
        <v>4</v>
      </c>
      <c r="E8" s="424">
        <v>5</v>
      </c>
      <c r="F8" s="424">
        <v>6</v>
      </c>
      <c r="G8" s="426">
        <v>7</v>
      </c>
      <c r="H8" s="426">
        <v>8</v>
      </c>
      <c r="I8" s="426">
        <v>9</v>
      </c>
      <c r="J8" s="426">
        <v>10</v>
      </c>
      <c r="K8" s="426">
        <v>10</v>
      </c>
      <c r="L8" s="773">
        <v>11</v>
      </c>
      <c r="M8" s="427"/>
    </row>
    <row r="9" spans="1:13" s="432" customFormat="1" ht="18" customHeight="1" thickBot="1">
      <c r="A9" s="973" t="s">
        <v>77</v>
      </c>
      <c r="B9" s="974"/>
      <c r="C9" s="974"/>
      <c r="D9" s="429">
        <f aca="true" t="shared" si="0" ref="D9:J9">D10</f>
        <v>15097700</v>
      </c>
      <c r="E9" s="429">
        <f t="shared" si="0"/>
        <v>1797400</v>
      </c>
      <c r="F9" s="429">
        <f t="shared" si="0"/>
        <v>463100</v>
      </c>
      <c r="G9" s="429">
        <f t="shared" si="0"/>
        <v>705900</v>
      </c>
      <c r="H9" s="429">
        <f t="shared" si="0"/>
        <v>599400</v>
      </c>
      <c r="I9" s="429">
        <f t="shared" si="0"/>
        <v>29000</v>
      </c>
      <c r="J9" s="429">
        <f t="shared" si="0"/>
        <v>0</v>
      </c>
      <c r="K9" s="447"/>
      <c r="L9" s="772"/>
      <c r="M9" s="431"/>
    </row>
    <row r="10" spans="1:13" s="432" customFormat="1" ht="21.75" customHeight="1" thickBot="1">
      <c r="A10" s="960" t="s">
        <v>78</v>
      </c>
      <c r="B10" s="961"/>
      <c r="C10" s="961"/>
      <c r="D10" s="433">
        <f aca="true" t="shared" si="1" ref="D10:I10">SUM(D11:D17)</f>
        <v>15097700</v>
      </c>
      <c r="E10" s="433">
        <f t="shared" si="1"/>
        <v>1797400</v>
      </c>
      <c r="F10" s="433">
        <f t="shared" si="1"/>
        <v>463100</v>
      </c>
      <c r="G10" s="433">
        <f t="shared" si="1"/>
        <v>705900</v>
      </c>
      <c r="H10" s="433">
        <f t="shared" si="1"/>
        <v>599400</v>
      </c>
      <c r="I10" s="433">
        <f t="shared" si="1"/>
        <v>29000</v>
      </c>
      <c r="J10" s="433">
        <f>SUM(J12:J12)</f>
        <v>0</v>
      </c>
      <c r="K10" s="448"/>
      <c r="L10" s="774"/>
      <c r="M10" s="431"/>
    </row>
    <row r="11" spans="1:13" s="432" customFormat="1" ht="30" customHeight="1" thickTop="1">
      <c r="A11" s="434">
        <v>1</v>
      </c>
      <c r="B11" s="435" t="s">
        <v>114</v>
      </c>
      <c r="C11" s="436" t="s">
        <v>432</v>
      </c>
      <c r="D11" s="437">
        <v>8754700</v>
      </c>
      <c r="E11" s="437">
        <f>SUM(F11,G11,H11,I11,K11)</f>
        <v>712400</v>
      </c>
      <c r="F11" s="437">
        <v>463100</v>
      </c>
      <c r="G11" s="437">
        <v>249300</v>
      </c>
      <c r="H11" s="438"/>
      <c r="I11" s="438"/>
      <c r="J11" s="437"/>
      <c r="K11" s="476"/>
      <c r="L11" s="939" t="s">
        <v>250</v>
      </c>
      <c r="M11" s="431"/>
    </row>
    <row r="12" spans="1:13" s="432" customFormat="1" ht="25.5">
      <c r="A12" s="434">
        <v>2</v>
      </c>
      <c r="B12" s="440" t="s">
        <v>116</v>
      </c>
      <c r="C12" s="436" t="s">
        <v>242</v>
      </c>
      <c r="D12" s="442">
        <v>5107000</v>
      </c>
      <c r="E12" s="442">
        <f>SUM(F12,G12,H12,I12,K12)</f>
        <v>110000</v>
      </c>
      <c r="F12" s="442"/>
      <c r="G12" s="442">
        <f>110000-H12</f>
        <v>46000</v>
      </c>
      <c r="H12" s="442">
        <v>64000</v>
      </c>
      <c r="I12" s="443"/>
      <c r="J12" s="442"/>
      <c r="K12" s="476" t="s">
        <v>260</v>
      </c>
      <c r="L12" s="951"/>
      <c r="M12" s="431"/>
    </row>
    <row r="13" spans="1:13" s="432" customFormat="1" ht="27" customHeight="1">
      <c r="A13" s="596">
        <v>3</v>
      </c>
      <c r="B13" s="597" t="s">
        <v>648</v>
      </c>
      <c r="C13" s="598" t="s">
        <v>155</v>
      </c>
      <c r="D13" s="599">
        <f>20000+16000+E13</f>
        <v>86000</v>
      </c>
      <c r="E13" s="600">
        <f>SUM(F13,G13,H13,I13,K13)</f>
        <v>50000</v>
      </c>
      <c r="F13" s="601" t="s">
        <v>649</v>
      </c>
      <c r="G13" s="599">
        <v>50000</v>
      </c>
      <c r="H13" s="602"/>
      <c r="I13" s="600"/>
      <c r="J13" s="600"/>
      <c r="K13" s="439" t="s">
        <v>650</v>
      </c>
      <c r="L13" s="959" t="s">
        <v>117</v>
      </c>
      <c r="M13" s="431"/>
    </row>
    <row r="14" spans="1:13" s="432" customFormat="1" ht="28.5" customHeight="1">
      <c r="A14" s="603">
        <v>4</v>
      </c>
      <c r="B14" s="440" t="s">
        <v>651</v>
      </c>
      <c r="C14" s="441" t="s">
        <v>155</v>
      </c>
      <c r="D14" s="602">
        <f>110000+5000+E14</f>
        <v>196000</v>
      </c>
      <c r="E14" s="442">
        <f>SUM(F14,G14,F16,I14,K14)</f>
        <v>81000</v>
      </c>
      <c r="F14" s="601" t="s">
        <v>652</v>
      </c>
      <c r="G14" s="602">
        <f>60000+21000</f>
        <v>81000</v>
      </c>
      <c r="I14" s="442"/>
      <c r="J14" s="442"/>
      <c r="K14" s="439" t="s">
        <v>650</v>
      </c>
      <c r="L14" s="939"/>
      <c r="M14" s="431"/>
    </row>
    <row r="15" spans="1:13" s="432" customFormat="1" ht="33.75">
      <c r="A15" s="603">
        <v>5</v>
      </c>
      <c r="B15" s="440" t="s">
        <v>653</v>
      </c>
      <c r="C15" s="441" t="s">
        <v>155</v>
      </c>
      <c r="D15" s="602">
        <f>3000+E15+11000</f>
        <v>178000</v>
      </c>
      <c r="E15" s="442">
        <f>SUM(F15,G15,H15,I15,K15)</f>
        <v>164000</v>
      </c>
      <c r="F15" s="601" t="s">
        <v>654</v>
      </c>
      <c r="G15" s="442">
        <v>49600</v>
      </c>
      <c r="H15" s="442">
        <v>85400</v>
      </c>
      <c r="I15" s="442">
        <v>29000</v>
      </c>
      <c r="J15" s="442"/>
      <c r="K15" s="604" t="s">
        <v>655</v>
      </c>
      <c r="L15" s="939"/>
      <c r="M15" s="431"/>
    </row>
    <row r="16" spans="1:13" s="432" customFormat="1" ht="19.5">
      <c r="A16" s="603">
        <v>6</v>
      </c>
      <c r="B16" s="440" t="s">
        <v>656</v>
      </c>
      <c r="C16" s="441">
        <v>2009</v>
      </c>
      <c r="D16" s="602">
        <f>E16</f>
        <v>20000</v>
      </c>
      <c r="E16" s="442">
        <f>SUM(F16,G16,H16,I16,K16)</f>
        <v>20000</v>
      </c>
      <c r="F16" s="601" t="s">
        <v>657</v>
      </c>
      <c r="G16" s="442">
        <v>20000</v>
      </c>
      <c r="H16" s="442"/>
      <c r="I16" s="442"/>
      <c r="J16" s="442"/>
      <c r="K16" s="604"/>
      <c r="L16" s="951"/>
      <c r="M16" s="431"/>
    </row>
    <row r="17" spans="1:13" s="432" customFormat="1" ht="39" thickBot="1">
      <c r="A17" s="603">
        <v>7</v>
      </c>
      <c r="B17" s="440" t="s">
        <v>169</v>
      </c>
      <c r="C17" s="441" t="s">
        <v>242</v>
      </c>
      <c r="D17" s="602">
        <v>756000</v>
      </c>
      <c r="E17" s="442">
        <f>SUM(G17,H17,I17,K17)</f>
        <v>660000</v>
      </c>
      <c r="F17" s="601" t="s">
        <v>690</v>
      </c>
      <c r="G17" s="602">
        <f>160000+50000</f>
        <v>210000</v>
      </c>
      <c r="H17" s="602">
        <v>450000</v>
      </c>
      <c r="I17" s="442"/>
      <c r="J17" s="442"/>
      <c r="K17" s="604" t="s">
        <v>658</v>
      </c>
      <c r="L17" s="605" t="s">
        <v>659</v>
      </c>
      <c r="M17" s="431"/>
    </row>
    <row r="18" spans="1:13" s="432" customFormat="1" ht="18" customHeight="1" thickBot="1">
      <c r="A18" s="973" t="s">
        <v>79</v>
      </c>
      <c r="B18" s="974"/>
      <c r="C18" s="974"/>
      <c r="D18" s="429">
        <f aca="true" t="shared" si="2" ref="D18:I18">D19</f>
        <v>3236013</v>
      </c>
      <c r="E18" s="429">
        <f t="shared" si="2"/>
        <v>1388804</v>
      </c>
      <c r="F18" s="429">
        <f t="shared" si="2"/>
        <v>0</v>
      </c>
      <c r="G18" s="429">
        <f t="shared" si="2"/>
        <v>845900</v>
      </c>
      <c r="H18" s="429">
        <f t="shared" si="2"/>
        <v>0</v>
      </c>
      <c r="I18" s="429">
        <f t="shared" si="2"/>
        <v>542904</v>
      </c>
      <c r="J18" s="429" t="e">
        <f>J19+#REF!</f>
        <v>#REF!</v>
      </c>
      <c r="K18" s="447"/>
      <c r="L18" s="624"/>
      <c r="M18" s="431"/>
    </row>
    <row r="19" spans="1:13" s="432" customFormat="1" ht="20.25" customHeight="1" thickBot="1">
      <c r="A19" s="960" t="s">
        <v>88</v>
      </c>
      <c r="B19" s="961"/>
      <c r="C19" s="961"/>
      <c r="D19" s="433">
        <f aca="true" t="shared" si="3" ref="D19:J19">SUM(D20:D28)</f>
        <v>3236013</v>
      </c>
      <c r="E19" s="433">
        <f t="shared" si="3"/>
        <v>1388804</v>
      </c>
      <c r="F19" s="433">
        <f t="shared" si="3"/>
        <v>0</v>
      </c>
      <c r="G19" s="433">
        <f t="shared" si="3"/>
        <v>845900</v>
      </c>
      <c r="H19" s="433">
        <f t="shared" si="3"/>
        <v>0</v>
      </c>
      <c r="I19" s="433">
        <f t="shared" si="3"/>
        <v>542904</v>
      </c>
      <c r="J19" s="433">
        <f t="shared" si="3"/>
        <v>0</v>
      </c>
      <c r="K19" s="448"/>
      <c r="L19" s="774"/>
      <c r="M19" s="431"/>
    </row>
    <row r="20" spans="1:13" s="432" customFormat="1" ht="24.75" customHeight="1" thickTop="1">
      <c r="A20" s="434">
        <v>8</v>
      </c>
      <c r="B20" s="446" t="s">
        <v>660</v>
      </c>
      <c r="C20" s="436" t="s">
        <v>153</v>
      </c>
      <c r="D20" s="437">
        <v>283000</v>
      </c>
      <c r="E20" s="442">
        <f>SUM(F20,G20,H20,I20,L14)</f>
        <v>90000</v>
      </c>
      <c r="F20" s="437"/>
      <c r="G20" s="437">
        <v>90000</v>
      </c>
      <c r="H20" s="437"/>
      <c r="I20" s="437"/>
      <c r="J20" s="437"/>
      <c r="K20" s="437"/>
      <c r="L20" s="955" t="s">
        <v>250</v>
      </c>
      <c r="M20" s="431"/>
    </row>
    <row r="21" spans="1:13" s="432" customFormat="1" ht="19.5" customHeight="1">
      <c r="A21" s="603">
        <v>9</v>
      </c>
      <c r="B21" s="606" t="s">
        <v>661</v>
      </c>
      <c r="C21" s="441" t="s">
        <v>167</v>
      </c>
      <c r="D21" s="602">
        <f>400+E21+579600</f>
        <v>610000</v>
      </c>
      <c r="E21" s="442">
        <f>SUM(F21,G21,H21,I21,L16)</f>
        <v>30000</v>
      </c>
      <c r="F21" s="442"/>
      <c r="G21" s="442">
        <v>30000</v>
      </c>
      <c r="H21" s="442"/>
      <c r="I21" s="442"/>
      <c r="J21" s="442"/>
      <c r="K21" s="442"/>
      <c r="L21" s="939"/>
      <c r="M21" s="431"/>
    </row>
    <row r="22" spans="1:13" s="432" customFormat="1" ht="24.75" customHeight="1">
      <c r="A22" s="434">
        <v>10</v>
      </c>
      <c r="B22" s="446" t="s">
        <v>662</v>
      </c>
      <c r="C22" s="436">
        <v>2009</v>
      </c>
      <c r="D22" s="437">
        <f>E22</f>
        <v>16000</v>
      </c>
      <c r="E22" s="442">
        <f>SUM(F22,G22,H22,I22,L17)</f>
        <v>16000</v>
      </c>
      <c r="F22" s="437"/>
      <c r="G22" s="437">
        <v>16000</v>
      </c>
      <c r="H22" s="437"/>
      <c r="I22" s="437"/>
      <c r="J22" s="437"/>
      <c r="K22" s="437"/>
      <c r="L22" s="939"/>
      <c r="M22" s="431"/>
    </row>
    <row r="23" spans="1:13" s="432" customFormat="1" ht="24.75" customHeight="1">
      <c r="A23" s="434">
        <v>11</v>
      </c>
      <c r="B23" s="446" t="s">
        <v>663</v>
      </c>
      <c r="C23" s="607">
        <v>2009</v>
      </c>
      <c r="D23" s="437">
        <f>E23</f>
        <v>50000</v>
      </c>
      <c r="E23" s="442">
        <f>SUM(F23,G23,H23,I23,L18)</f>
        <v>50000</v>
      </c>
      <c r="F23" s="437"/>
      <c r="G23" s="445">
        <v>2000</v>
      </c>
      <c r="H23" s="437"/>
      <c r="I23" s="437">
        <v>48000</v>
      </c>
      <c r="J23" s="437"/>
      <c r="K23" s="768"/>
      <c r="L23" s="939"/>
      <c r="M23" s="431"/>
    </row>
    <row r="24" spans="1:13" s="432" customFormat="1" ht="21" customHeight="1">
      <c r="A24" s="434">
        <v>12</v>
      </c>
      <c r="B24" s="606" t="s">
        <v>664</v>
      </c>
      <c r="C24" s="608">
        <v>2009</v>
      </c>
      <c r="D24" s="437">
        <f>E24</f>
        <v>50000</v>
      </c>
      <c r="E24" s="437">
        <f>SUM(F24,G24,H24,I24,K33)</f>
        <v>50000</v>
      </c>
      <c r="F24" s="609"/>
      <c r="G24" s="445"/>
      <c r="H24" s="437"/>
      <c r="I24" s="437">
        <v>50000</v>
      </c>
      <c r="J24" s="437"/>
      <c r="K24" s="768"/>
      <c r="L24" s="939"/>
      <c r="M24" s="431"/>
    </row>
    <row r="25" spans="1:13" s="432" customFormat="1" ht="21" customHeight="1">
      <c r="A25" s="434">
        <v>13</v>
      </c>
      <c r="B25" s="606" t="s">
        <v>665</v>
      </c>
      <c r="C25" s="608" t="s">
        <v>155</v>
      </c>
      <c r="D25" s="437">
        <f>500+80000</f>
        <v>80500</v>
      </c>
      <c r="E25" s="437">
        <f>SUM(F25,G25,H25,I25,K34)</f>
        <v>80000</v>
      </c>
      <c r="F25" s="609"/>
      <c r="G25" s="445">
        <v>30000</v>
      </c>
      <c r="H25" s="437"/>
      <c r="I25" s="437">
        <v>50000</v>
      </c>
      <c r="J25" s="437"/>
      <c r="K25" s="768"/>
      <c r="L25" s="939"/>
      <c r="M25" s="431"/>
    </row>
    <row r="26" spans="1:13" s="432" customFormat="1" ht="21" customHeight="1">
      <c r="A26" s="434">
        <v>14</v>
      </c>
      <c r="B26" s="606" t="s">
        <v>666</v>
      </c>
      <c r="C26" s="608" t="s">
        <v>118</v>
      </c>
      <c r="D26" s="437">
        <v>1256100</v>
      </c>
      <c r="E26" s="442">
        <f>SUM(F26,G26,H26,I26,L21)</f>
        <v>224204</v>
      </c>
      <c r="F26" s="609"/>
      <c r="G26" s="445">
        <f>9600+1700</f>
        <v>11300</v>
      </c>
      <c r="H26" s="437"/>
      <c r="I26" s="437">
        <v>212904</v>
      </c>
      <c r="J26" s="437"/>
      <c r="K26" s="768"/>
      <c r="L26" s="939"/>
      <c r="M26" s="431"/>
    </row>
    <row r="27" spans="1:13" s="432" customFormat="1" ht="25.5">
      <c r="A27" s="610">
        <v>15</v>
      </c>
      <c r="B27" s="611" t="s">
        <v>667</v>
      </c>
      <c r="C27" s="612" t="s">
        <v>155</v>
      </c>
      <c r="D27" s="613">
        <f>4000+30+427+36600+200+30+46+480+E27</f>
        <v>840413</v>
      </c>
      <c r="E27" s="613">
        <f>SUM(F27,G27,H27,I27,K27)</f>
        <v>798600</v>
      </c>
      <c r="F27" s="614"/>
      <c r="G27" s="615">
        <f>790680+7907+13-I27</f>
        <v>666600</v>
      </c>
      <c r="H27" s="613"/>
      <c r="I27" s="613">
        <f>132000</f>
        <v>132000</v>
      </c>
      <c r="J27" s="613"/>
      <c r="K27" s="768"/>
      <c r="L27" s="939"/>
      <c r="M27" s="431"/>
    </row>
    <row r="28" spans="1:13" s="432" customFormat="1" ht="26.25" thickBot="1">
      <c r="A28" s="450">
        <v>16</v>
      </c>
      <c r="B28" s="616" t="s">
        <v>668</v>
      </c>
      <c r="C28" s="617">
        <v>2009</v>
      </c>
      <c r="D28" s="453">
        <f>E28</f>
        <v>50000</v>
      </c>
      <c r="E28" s="453">
        <f>SUM(F28,G28,H28,I28,K28)</f>
        <v>50000</v>
      </c>
      <c r="F28" s="618"/>
      <c r="G28" s="454"/>
      <c r="H28" s="453"/>
      <c r="I28" s="453">
        <v>50000</v>
      </c>
      <c r="J28" s="453"/>
      <c r="K28" s="619"/>
      <c r="L28" s="940"/>
      <c r="M28" s="431"/>
    </row>
    <row r="29" spans="2:13" s="415" customFormat="1" ht="12" customHeight="1" thickBot="1">
      <c r="B29" s="416"/>
      <c r="D29" s="416"/>
      <c r="L29" s="417"/>
      <c r="M29" s="418"/>
    </row>
    <row r="30" spans="1:13" s="419" customFormat="1" ht="14.25" customHeight="1">
      <c r="A30" s="953" t="s">
        <v>335</v>
      </c>
      <c r="B30" s="941" t="s">
        <v>452</v>
      </c>
      <c r="C30" s="941" t="s">
        <v>74</v>
      </c>
      <c r="D30" s="962" t="s">
        <v>93</v>
      </c>
      <c r="E30" s="941" t="s">
        <v>248</v>
      </c>
      <c r="F30" s="943" t="s">
        <v>75</v>
      </c>
      <c r="G30" s="944"/>
      <c r="H30" s="944"/>
      <c r="I30" s="945"/>
      <c r="J30" s="343"/>
      <c r="K30" s="343"/>
      <c r="L30" s="946" t="s">
        <v>239</v>
      </c>
      <c r="M30" s="418"/>
    </row>
    <row r="31" spans="1:13" s="419" customFormat="1" ht="14.25" customHeight="1">
      <c r="A31" s="954"/>
      <c r="B31" s="942"/>
      <c r="C31" s="942"/>
      <c r="D31" s="963"/>
      <c r="E31" s="942"/>
      <c r="F31" s="949" t="s">
        <v>84</v>
      </c>
      <c r="G31" s="949" t="s">
        <v>76</v>
      </c>
      <c r="H31" s="949"/>
      <c r="I31" s="949"/>
      <c r="J31" s="420"/>
      <c r="K31" s="420"/>
      <c r="L31" s="947"/>
      <c r="M31" s="418"/>
    </row>
    <row r="32" spans="1:13" s="419" customFormat="1" ht="14.25" customHeight="1">
      <c r="A32" s="954"/>
      <c r="B32" s="942"/>
      <c r="C32" s="942"/>
      <c r="D32" s="963"/>
      <c r="E32" s="942"/>
      <c r="F32" s="950"/>
      <c r="G32" s="933" t="s">
        <v>451</v>
      </c>
      <c r="H32" s="933" t="s">
        <v>249</v>
      </c>
      <c r="I32" s="933" t="s">
        <v>85</v>
      </c>
      <c r="J32" s="421" t="s">
        <v>113</v>
      </c>
      <c r="K32" s="933" t="s">
        <v>157</v>
      </c>
      <c r="L32" s="947"/>
      <c r="M32" s="418"/>
    </row>
    <row r="33" spans="1:13" s="419" customFormat="1" ht="14.25" customHeight="1">
      <c r="A33" s="954"/>
      <c r="B33" s="942"/>
      <c r="C33" s="942"/>
      <c r="D33" s="963"/>
      <c r="E33" s="942"/>
      <c r="F33" s="950"/>
      <c r="G33" s="934"/>
      <c r="H33" s="934"/>
      <c r="I33" s="934"/>
      <c r="J33" s="422"/>
      <c r="K33" s="934"/>
      <c r="L33" s="947"/>
      <c r="M33" s="418"/>
    </row>
    <row r="34" spans="1:13" s="419" customFormat="1" ht="15" customHeight="1" thickBot="1">
      <c r="A34" s="954"/>
      <c r="B34" s="942"/>
      <c r="C34" s="942"/>
      <c r="D34" s="963"/>
      <c r="E34" s="942"/>
      <c r="F34" s="950"/>
      <c r="G34" s="934"/>
      <c r="H34" s="934"/>
      <c r="I34" s="934"/>
      <c r="J34" s="422"/>
      <c r="K34" s="935"/>
      <c r="L34" s="948"/>
      <c r="M34" s="418"/>
    </row>
    <row r="35" spans="1:13" s="428" customFormat="1" ht="10.5" customHeight="1" thickBot="1">
      <c r="A35" s="620">
        <v>1</v>
      </c>
      <c r="B35" s="621">
        <v>2</v>
      </c>
      <c r="C35" s="621">
        <v>3</v>
      </c>
      <c r="D35" s="622">
        <v>4</v>
      </c>
      <c r="E35" s="621">
        <v>5</v>
      </c>
      <c r="F35" s="621">
        <v>6</v>
      </c>
      <c r="G35" s="623">
        <v>7</v>
      </c>
      <c r="H35" s="623">
        <v>8</v>
      </c>
      <c r="I35" s="623">
        <v>9</v>
      </c>
      <c r="J35" s="426">
        <v>10</v>
      </c>
      <c r="K35" s="770">
        <v>10</v>
      </c>
      <c r="L35" s="771">
        <v>11</v>
      </c>
      <c r="M35" s="427"/>
    </row>
    <row r="36" spans="1:13" s="432" customFormat="1" ht="21" customHeight="1" thickBot="1">
      <c r="A36" s="956" t="s">
        <v>90</v>
      </c>
      <c r="B36" s="957"/>
      <c r="C36" s="958"/>
      <c r="D36" s="429">
        <f aca="true" t="shared" si="4" ref="D36:J36">D37</f>
        <v>540000</v>
      </c>
      <c r="E36" s="429">
        <f t="shared" si="4"/>
        <v>74400</v>
      </c>
      <c r="F36" s="429">
        <f t="shared" si="4"/>
        <v>0</v>
      </c>
      <c r="G36" s="447">
        <f t="shared" si="4"/>
        <v>74400</v>
      </c>
      <c r="H36" s="429">
        <f t="shared" si="4"/>
        <v>0</v>
      </c>
      <c r="I36" s="429">
        <f t="shared" si="4"/>
        <v>0</v>
      </c>
      <c r="J36" s="429">
        <f t="shared" si="4"/>
        <v>0</v>
      </c>
      <c r="K36" s="447"/>
      <c r="L36" s="624"/>
      <c r="M36" s="431"/>
    </row>
    <row r="37" spans="1:13" s="432" customFormat="1" ht="19.5" customHeight="1" thickBot="1">
      <c r="A37" s="968" t="s">
        <v>91</v>
      </c>
      <c r="B37" s="969"/>
      <c r="C37" s="970"/>
      <c r="D37" s="433">
        <f aca="true" t="shared" si="5" ref="D37:J37">SUM(D38:D39)</f>
        <v>540000</v>
      </c>
      <c r="E37" s="433">
        <f t="shared" si="5"/>
        <v>74400</v>
      </c>
      <c r="F37" s="433">
        <f t="shared" si="5"/>
        <v>0</v>
      </c>
      <c r="G37" s="433">
        <f t="shared" si="5"/>
        <v>74400</v>
      </c>
      <c r="H37" s="433">
        <f t="shared" si="5"/>
        <v>0</v>
      </c>
      <c r="I37" s="433">
        <f t="shared" si="5"/>
        <v>0</v>
      </c>
      <c r="J37" s="433">
        <f t="shared" si="5"/>
        <v>0</v>
      </c>
      <c r="K37" s="448"/>
      <c r="L37" s="769"/>
      <c r="M37" s="431"/>
    </row>
    <row r="38" spans="1:13" s="432" customFormat="1" ht="26.25" thickTop="1">
      <c r="A38" s="434">
        <v>17</v>
      </c>
      <c r="B38" s="435" t="s">
        <v>166</v>
      </c>
      <c r="C38" s="449" t="s">
        <v>242</v>
      </c>
      <c r="D38" s="437">
        <v>500000</v>
      </c>
      <c r="E38" s="437">
        <f>SUM(F38,G38,H38,I38,L36)</f>
        <v>34400</v>
      </c>
      <c r="F38" s="437"/>
      <c r="G38" s="445">
        <v>34400</v>
      </c>
      <c r="H38" s="438"/>
      <c r="I38" s="437"/>
      <c r="J38" s="445"/>
      <c r="K38" s="476"/>
      <c r="L38" s="939" t="s">
        <v>250</v>
      </c>
      <c r="M38" s="431"/>
    </row>
    <row r="39" spans="1:13" s="432" customFormat="1" ht="24.75" customHeight="1" thickBot="1">
      <c r="A39" s="450">
        <v>18</v>
      </c>
      <c r="B39" s="451" t="s">
        <v>240</v>
      </c>
      <c r="C39" s="452">
        <v>2009</v>
      </c>
      <c r="D39" s="453">
        <f>E39</f>
        <v>40000</v>
      </c>
      <c r="E39" s="453">
        <f>SUM(F39,G39,H39,I39,L37)</f>
        <v>40000</v>
      </c>
      <c r="F39" s="453"/>
      <c r="G39" s="454">
        <v>40000</v>
      </c>
      <c r="H39" s="453"/>
      <c r="I39" s="453"/>
      <c r="J39" s="454"/>
      <c r="K39" s="454"/>
      <c r="L39" s="940"/>
      <c r="M39" s="431"/>
    </row>
    <row r="40" spans="1:13" s="432" customFormat="1" ht="30" customHeight="1" thickBot="1">
      <c r="A40" s="956" t="s">
        <v>119</v>
      </c>
      <c r="B40" s="957"/>
      <c r="C40" s="958"/>
      <c r="D40" s="429">
        <f>D43+D41</f>
        <v>423300</v>
      </c>
      <c r="E40" s="429">
        <f aca="true" t="shared" si="6" ref="E40:J40">E43+E41</f>
        <v>135400</v>
      </c>
      <c r="F40" s="429">
        <f t="shared" si="6"/>
        <v>0</v>
      </c>
      <c r="G40" s="429">
        <f t="shared" si="6"/>
        <v>135400</v>
      </c>
      <c r="H40" s="429">
        <f t="shared" si="6"/>
        <v>0</v>
      </c>
      <c r="I40" s="429">
        <f t="shared" si="6"/>
        <v>0</v>
      </c>
      <c r="J40" s="429">
        <f t="shared" si="6"/>
        <v>0</v>
      </c>
      <c r="K40" s="447"/>
      <c r="L40" s="624"/>
      <c r="M40" s="431"/>
    </row>
    <row r="41" spans="1:13" s="432" customFormat="1" ht="18.75" customHeight="1" thickBot="1">
      <c r="A41" s="960" t="s">
        <v>712</v>
      </c>
      <c r="B41" s="961"/>
      <c r="C41" s="961"/>
      <c r="D41" s="433">
        <f>D42</f>
        <v>30000</v>
      </c>
      <c r="E41" s="433">
        <f>E42</f>
        <v>30000</v>
      </c>
      <c r="F41" s="433">
        <f>F42</f>
        <v>0</v>
      </c>
      <c r="G41" s="433">
        <f>G42</f>
        <v>30000</v>
      </c>
      <c r="H41" s="433">
        <f>SUM(H42:H43)</f>
        <v>0</v>
      </c>
      <c r="I41" s="433">
        <f>SUM(I42:I43)</f>
        <v>0</v>
      </c>
      <c r="J41" s="433">
        <f>SUM(J42:J43)</f>
        <v>0</v>
      </c>
      <c r="K41" s="448"/>
      <c r="L41" s="774"/>
      <c r="M41" s="431"/>
    </row>
    <row r="42" spans="1:13" s="432" customFormat="1" ht="21" customHeight="1" thickTop="1">
      <c r="A42" s="434">
        <v>19</v>
      </c>
      <c r="B42" s="435" t="s">
        <v>713</v>
      </c>
      <c r="C42" s="460">
        <v>2009</v>
      </c>
      <c r="D42" s="437">
        <f>E42</f>
        <v>30000</v>
      </c>
      <c r="E42" s="437">
        <f>SUM(F42:I42)</f>
        <v>30000</v>
      </c>
      <c r="F42" s="437"/>
      <c r="G42" s="437">
        <v>30000</v>
      </c>
      <c r="H42" s="437"/>
      <c r="I42" s="437"/>
      <c r="J42" s="445"/>
      <c r="K42" s="626"/>
      <c r="L42" s="801"/>
      <c r="M42" s="431"/>
    </row>
    <row r="43" spans="1:13" s="432" customFormat="1" ht="18.75" customHeight="1" thickBot="1">
      <c r="A43" s="960" t="s">
        <v>120</v>
      </c>
      <c r="B43" s="961"/>
      <c r="C43" s="961"/>
      <c r="D43" s="433">
        <f>SUM(D44:D45)</f>
        <v>393300</v>
      </c>
      <c r="E43" s="433">
        <f aca="true" t="shared" si="7" ref="E43:J43">SUM(E44:E45)</f>
        <v>105400</v>
      </c>
      <c r="F43" s="433">
        <f t="shared" si="7"/>
        <v>0</v>
      </c>
      <c r="G43" s="433">
        <f t="shared" si="7"/>
        <v>105400</v>
      </c>
      <c r="H43" s="433">
        <f t="shared" si="7"/>
        <v>0</v>
      </c>
      <c r="I43" s="433">
        <f t="shared" si="7"/>
        <v>0</v>
      </c>
      <c r="J43" s="433">
        <f t="shared" si="7"/>
        <v>0</v>
      </c>
      <c r="K43" s="448"/>
      <c r="L43" s="800"/>
      <c r="M43" s="431"/>
    </row>
    <row r="44" spans="1:13" s="432" customFormat="1" ht="21" customHeight="1" thickTop="1">
      <c r="A44" s="434">
        <v>20</v>
      </c>
      <c r="B44" s="435" t="s">
        <v>241</v>
      </c>
      <c r="C44" s="460" t="s">
        <v>155</v>
      </c>
      <c r="D44" s="437">
        <f>17900+E44</f>
        <v>93300</v>
      </c>
      <c r="E44" s="437">
        <f>SUM(F44:I44)</f>
        <v>75400</v>
      </c>
      <c r="F44" s="437"/>
      <c r="G44" s="437">
        <f>51445+23790+80+85</f>
        <v>75400</v>
      </c>
      <c r="H44" s="437"/>
      <c r="I44" s="437"/>
      <c r="J44" s="445"/>
      <c r="K44" s="626"/>
      <c r="L44" s="955" t="s">
        <v>250</v>
      </c>
      <c r="M44" s="431"/>
    </row>
    <row r="45" spans="1:13" s="432" customFormat="1" ht="21" customHeight="1" thickBot="1">
      <c r="A45" s="434">
        <v>21</v>
      </c>
      <c r="B45" s="435" t="s">
        <v>694</v>
      </c>
      <c r="C45" s="460" t="s">
        <v>253</v>
      </c>
      <c r="D45" s="437">
        <f>300000</f>
        <v>300000</v>
      </c>
      <c r="E45" s="437">
        <f>SUM(F45:I45)</f>
        <v>30000</v>
      </c>
      <c r="F45" s="437"/>
      <c r="G45" s="437">
        <v>30000</v>
      </c>
      <c r="H45" s="437"/>
      <c r="I45" s="437"/>
      <c r="J45" s="445"/>
      <c r="K45" s="626"/>
      <c r="L45" s="940"/>
      <c r="M45" s="431"/>
    </row>
    <row r="46" spans="1:13" s="432" customFormat="1" ht="18.75" customHeight="1" thickBot="1">
      <c r="A46" s="956" t="s">
        <v>669</v>
      </c>
      <c r="B46" s="957"/>
      <c r="C46" s="958"/>
      <c r="D46" s="429">
        <f aca="true" t="shared" si="8" ref="D46:J46">D56+D47</f>
        <v>85201</v>
      </c>
      <c r="E46" s="429">
        <f t="shared" si="8"/>
        <v>9500</v>
      </c>
      <c r="F46" s="429">
        <f t="shared" si="8"/>
        <v>0</v>
      </c>
      <c r="G46" s="429">
        <f t="shared" si="8"/>
        <v>9500</v>
      </c>
      <c r="H46" s="429">
        <f t="shared" si="8"/>
        <v>0</v>
      </c>
      <c r="I46" s="429">
        <f t="shared" si="8"/>
        <v>0</v>
      </c>
      <c r="J46" s="429">
        <f t="shared" si="8"/>
        <v>10</v>
      </c>
      <c r="K46" s="429"/>
      <c r="L46" s="627"/>
      <c r="M46" s="431"/>
    </row>
    <row r="47" spans="1:13" s="432" customFormat="1" ht="18.75" customHeight="1" thickBot="1">
      <c r="A47" s="966" t="s">
        <v>670</v>
      </c>
      <c r="B47" s="967"/>
      <c r="C47" s="967"/>
      <c r="D47" s="628">
        <f aca="true" t="shared" si="9" ref="D47:I47">D48</f>
        <v>85201</v>
      </c>
      <c r="E47" s="628">
        <f t="shared" si="9"/>
        <v>9500</v>
      </c>
      <c r="F47" s="628">
        <f t="shared" si="9"/>
        <v>0</v>
      </c>
      <c r="G47" s="628">
        <f t="shared" si="9"/>
        <v>9500</v>
      </c>
      <c r="H47" s="628">
        <f t="shared" si="9"/>
        <v>0</v>
      </c>
      <c r="I47" s="629">
        <f t="shared" si="9"/>
        <v>0</v>
      </c>
      <c r="J47" s="630">
        <f>SUM(J48:J56)</f>
        <v>10</v>
      </c>
      <c r="K47" s="980" t="s">
        <v>650</v>
      </c>
      <c r="L47" s="938" t="s">
        <v>117</v>
      </c>
      <c r="M47" s="431"/>
    </row>
    <row r="48" spans="1:13" s="432" customFormat="1" ht="21.75" customHeight="1" thickBot="1" thickTop="1">
      <c r="A48" s="631">
        <v>22</v>
      </c>
      <c r="B48" s="435" t="s">
        <v>671</v>
      </c>
      <c r="C48" s="460" t="s">
        <v>155</v>
      </c>
      <c r="D48" s="437">
        <f>75701+E48</f>
        <v>85201</v>
      </c>
      <c r="E48" s="437">
        <f>G48</f>
        <v>9500</v>
      </c>
      <c r="F48" s="437"/>
      <c r="G48" s="437">
        <v>9500</v>
      </c>
      <c r="H48" s="437"/>
      <c r="I48" s="437"/>
      <c r="J48" s="442"/>
      <c r="K48" s="981"/>
      <c r="L48" s="930"/>
      <c r="M48" s="431"/>
    </row>
    <row r="49" spans="1:13" s="432" customFormat="1" ht="10.5" customHeight="1" hidden="1" thickBot="1">
      <c r="A49" s="632"/>
      <c r="B49" s="633"/>
      <c r="C49" s="634"/>
      <c r="D49" s="635"/>
      <c r="E49" s="635"/>
      <c r="F49" s="635"/>
      <c r="G49" s="635"/>
      <c r="H49" s="635"/>
      <c r="I49" s="635"/>
      <c r="J49" s="635"/>
      <c r="K49" s="635"/>
      <c r="L49" s="625"/>
      <c r="M49" s="431"/>
    </row>
    <row r="50" spans="1:13" s="419" customFormat="1" ht="14.25" customHeight="1" hidden="1">
      <c r="A50" s="953" t="s">
        <v>335</v>
      </c>
      <c r="B50" s="941" t="s">
        <v>452</v>
      </c>
      <c r="C50" s="941" t="s">
        <v>74</v>
      </c>
      <c r="D50" s="962" t="s">
        <v>93</v>
      </c>
      <c r="E50" s="941" t="s">
        <v>248</v>
      </c>
      <c r="F50" s="943" t="s">
        <v>75</v>
      </c>
      <c r="G50" s="944"/>
      <c r="H50" s="944"/>
      <c r="I50" s="945"/>
      <c r="J50" s="343"/>
      <c r="K50" s="343"/>
      <c r="L50" s="625"/>
      <c r="M50" s="418"/>
    </row>
    <row r="51" spans="1:13" s="419" customFormat="1" ht="14.25" customHeight="1" hidden="1">
      <c r="A51" s="954"/>
      <c r="B51" s="942"/>
      <c r="C51" s="942"/>
      <c r="D51" s="963"/>
      <c r="E51" s="942"/>
      <c r="F51" s="949" t="s">
        <v>84</v>
      </c>
      <c r="G51" s="949" t="s">
        <v>76</v>
      </c>
      <c r="H51" s="949"/>
      <c r="I51" s="949"/>
      <c r="J51" s="420"/>
      <c r="K51" s="420"/>
      <c r="L51" s="625"/>
      <c r="M51" s="418"/>
    </row>
    <row r="52" spans="1:13" s="419" customFormat="1" ht="14.25" customHeight="1" hidden="1">
      <c r="A52" s="954"/>
      <c r="B52" s="942"/>
      <c r="C52" s="942"/>
      <c r="D52" s="963"/>
      <c r="E52" s="942"/>
      <c r="F52" s="950"/>
      <c r="G52" s="933" t="s">
        <v>451</v>
      </c>
      <c r="H52" s="933" t="s">
        <v>672</v>
      </c>
      <c r="I52" s="933" t="s">
        <v>673</v>
      </c>
      <c r="J52" s="421" t="s">
        <v>113</v>
      </c>
      <c r="K52" s="933" t="s">
        <v>157</v>
      </c>
      <c r="L52" s="625"/>
      <c r="M52" s="418"/>
    </row>
    <row r="53" spans="1:13" s="419" customFormat="1" ht="14.25" customHeight="1" hidden="1">
      <c r="A53" s="954"/>
      <c r="B53" s="942"/>
      <c r="C53" s="942"/>
      <c r="D53" s="963"/>
      <c r="E53" s="942"/>
      <c r="F53" s="950"/>
      <c r="G53" s="934"/>
      <c r="H53" s="934"/>
      <c r="I53" s="934"/>
      <c r="J53" s="422"/>
      <c r="K53" s="934"/>
      <c r="L53" s="625"/>
      <c r="M53" s="418"/>
    </row>
    <row r="54" spans="1:13" s="419" customFormat="1" ht="15" customHeight="1" hidden="1" thickBot="1">
      <c r="A54" s="954"/>
      <c r="B54" s="942"/>
      <c r="C54" s="942"/>
      <c r="D54" s="963"/>
      <c r="E54" s="942"/>
      <c r="F54" s="950"/>
      <c r="G54" s="934"/>
      <c r="H54" s="934"/>
      <c r="I54" s="934"/>
      <c r="J54" s="422"/>
      <c r="K54" s="935"/>
      <c r="L54" s="625"/>
      <c r="M54" s="418"/>
    </row>
    <row r="55" spans="1:13" s="428" customFormat="1" ht="10.5" customHeight="1" hidden="1" thickBot="1">
      <c r="A55" s="636">
        <v>1</v>
      </c>
      <c r="B55" s="637">
        <v>2</v>
      </c>
      <c r="C55" s="637">
        <v>3</v>
      </c>
      <c r="D55" s="638">
        <v>4</v>
      </c>
      <c r="E55" s="637">
        <v>5</v>
      </c>
      <c r="F55" s="637">
        <v>6</v>
      </c>
      <c r="G55" s="639">
        <v>7</v>
      </c>
      <c r="H55" s="639">
        <v>8</v>
      </c>
      <c r="I55" s="639">
        <v>9</v>
      </c>
      <c r="J55" s="639">
        <v>10</v>
      </c>
      <c r="K55" s="639">
        <v>10</v>
      </c>
      <c r="L55" s="625"/>
      <c r="M55" s="427"/>
    </row>
    <row r="56" spans="1:13" s="432" customFormat="1" ht="18.75" customHeight="1" hidden="1" thickBot="1" thickTop="1">
      <c r="A56" s="964" t="s">
        <v>674</v>
      </c>
      <c r="B56" s="965"/>
      <c r="C56" s="965"/>
      <c r="D56" s="444">
        <f aca="true" t="shared" si="10" ref="D56:J56">SUM(D57:D58)</f>
        <v>0</v>
      </c>
      <c r="E56" s="444">
        <f t="shared" si="10"/>
        <v>0</v>
      </c>
      <c r="F56" s="444">
        <f t="shared" si="10"/>
        <v>0</v>
      </c>
      <c r="G56" s="444">
        <f t="shared" si="10"/>
        <v>0</v>
      </c>
      <c r="H56" s="444">
        <f t="shared" si="10"/>
        <v>0</v>
      </c>
      <c r="I56" s="444">
        <f t="shared" si="10"/>
        <v>0</v>
      </c>
      <c r="J56" s="444">
        <f t="shared" si="10"/>
        <v>0</v>
      </c>
      <c r="K56" s="461"/>
      <c r="L56" s="625"/>
      <c r="M56" s="431"/>
    </row>
    <row r="57" spans="1:13" s="432" customFormat="1" ht="21.75" customHeight="1" hidden="1" thickTop="1">
      <c r="A57" s="631">
        <v>28</v>
      </c>
      <c r="B57" s="435" t="s">
        <v>675</v>
      </c>
      <c r="C57" s="460" t="s">
        <v>118</v>
      </c>
      <c r="D57" s="640"/>
      <c r="E57" s="640">
        <f>SUM(F57,G57,H57,I57,L5)</f>
        <v>0</v>
      </c>
      <c r="F57" s="640"/>
      <c r="G57" s="640"/>
      <c r="H57" s="640"/>
      <c r="I57" s="640"/>
      <c r="J57" s="640"/>
      <c r="K57" s="640"/>
      <c r="L57" s="625"/>
      <c r="M57" s="431"/>
    </row>
    <row r="58" spans="1:13" s="432" customFormat="1" ht="26.25" customHeight="1" hidden="1" thickBot="1">
      <c r="A58" s="641">
        <v>29</v>
      </c>
      <c r="B58" s="435" t="s">
        <v>676</v>
      </c>
      <c r="C58" s="642">
        <v>2009</v>
      </c>
      <c r="D58" s="640">
        <f>E58</f>
        <v>0</v>
      </c>
      <c r="E58" s="640">
        <f>SUM(F58,G58,H58,I58,L6)</f>
        <v>0</v>
      </c>
      <c r="F58" s="457"/>
      <c r="G58" s="643"/>
      <c r="H58" s="457"/>
      <c r="I58" s="457"/>
      <c r="J58" s="457"/>
      <c r="K58" s="457"/>
      <c r="L58" s="625"/>
      <c r="M58" s="431"/>
    </row>
    <row r="59" spans="1:13" s="432" customFormat="1" ht="18.75" customHeight="1" thickBot="1">
      <c r="A59" s="956" t="s">
        <v>80</v>
      </c>
      <c r="B59" s="957"/>
      <c r="C59" s="958"/>
      <c r="D59" s="429">
        <f aca="true" t="shared" si="11" ref="D59:J59">D60</f>
        <v>2297400</v>
      </c>
      <c r="E59" s="429">
        <f t="shared" si="11"/>
        <v>1300324</v>
      </c>
      <c r="F59" s="429">
        <f t="shared" si="11"/>
        <v>0</v>
      </c>
      <c r="G59" s="447">
        <f t="shared" si="11"/>
        <v>300324</v>
      </c>
      <c r="H59" s="429">
        <f t="shared" si="11"/>
        <v>1000000</v>
      </c>
      <c r="I59" s="429">
        <f t="shared" si="11"/>
        <v>0</v>
      </c>
      <c r="J59" s="429">
        <f t="shared" si="11"/>
        <v>0</v>
      </c>
      <c r="K59" s="447"/>
      <c r="L59" s="627"/>
      <c r="M59" s="431"/>
    </row>
    <row r="60" spans="1:13" s="432" customFormat="1" ht="18.75" customHeight="1" thickBot="1">
      <c r="A60" s="960" t="s">
        <v>81</v>
      </c>
      <c r="B60" s="961"/>
      <c r="C60" s="961"/>
      <c r="D60" s="433">
        <f aca="true" t="shared" si="12" ref="D60:J60">SUM(D61:D61)</f>
        <v>2297400</v>
      </c>
      <c r="E60" s="433">
        <f t="shared" si="12"/>
        <v>1300324</v>
      </c>
      <c r="F60" s="433">
        <f t="shared" si="12"/>
        <v>0</v>
      </c>
      <c r="G60" s="433">
        <f t="shared" si="12"/>
        <v>300324</v>
      </c>
      <c r="H60" s="433">
        <f t="shared" si="12"/>
        <v>1000000</v>
      </c>
      <c r="I60" s="433">
        <f t="shared" si="12"/>
        <v>0</v>
      </c>
      <c r="J60" s="433">
        <f t="shared" si="12"/>
        <v>0</v>
      </c>
      <c r="K60" s="448"/>
      <c r="L60" s="939" t="s">
        <v>250</v>
      </c>
      <c r="M60" s="431"/>
    </row>
    <row r="61" spans="1:13" s="432" customFormat="1" ht="25.5" customHeight="1" thickBot="1" thickTop="1">
      <c r="A61" s="455">
        <v>23</v>
      </c>
      <c r="B61" s="456" t="s">
        <v>156</v>
      </c>
      <c r="C61" s="462" t="s">
        <v>242</v>
      </c>
      <c r="D61" s="457">
        <v>2297400</v>
      </c>
      <c r="E61" s="457">
        <f>SUM(F61,G61,H61,I61,L61)</f>
        <v>1300324</v>
      </c>
      <c r="F61" s="457"/>
      <c r="G61" s="458">
        <f>1300324-H61</f>
        <v>300324</v>
      </c>
      <c r="H61" s="457">
        <v>1000000</v>
      </c>
      <c r="I61" s="457"/>
      <c r="J61" s="458"/>
      <c r="K61" s="475" t="s">
        <v>257</v>
      </c>
      <c r="L61" s="940"/>
      <c r="M61" s="431"/>
    </row>
    <row r="62" spans="1:13" s="432" customFormat="1" ht="24.75" customHeight="1" thickBot="1">
      <c r="A62" s="956" t="s">
        <v>121</v>
      </c>
      <c r="B62" s="957"/>
      <c r="C62" s="958"/>
      <c r="D62" s="429">
        <f aca="true" t="shared" si="13" ref="D62:I62">D76+D63+D67+D65</f>
        <v>1026880</v>
      </c>
      <c r="E62" s="429">
        <f t="shared" si="13"/>
        <v>230360</v>
      </c>
      <c r="F62" s="429">
        <f t="shared" si="13"/>
        <v>0</v>
      </c>
      <c r="G62" s="429">
        <f t="shared" si="13"/>
        <v>125460</v>
      </c>
      <c r="H62" s="429">
        <f t="shared" si="13"/>
        <v>97000</v>
      </c>
      <c r="I62" s="429">
        <f t="shared" si="13"/>
        <v>7900</v>
      </c>
      <c r="J62" s="429" t="e">
        <f>J76+#REF!+J63+J67</f>
        <v>#REF!</v>
      </c>
      <c r="K62" s="429"/>
      <c r="L62" s="459"/>
      <c r="M62" s="431"/>
    </row>
    <row r="63" spans="1:13" s="432" customFormat="1" ht="19.5" customHeight="1" thickBot="1" thickTop="1">
      <c r="A63" s="964" t="s">
        <v>243</v>
      </c>
      <c r="B63" s="965"/>
      <c r="C63" s="965"/>
      <c r="D63" s="444">
        <f aca="true" t="shared" si="14" ref="D63:K63">SUM(D64:D64)</f>
        <v>119300</v>
      </c>
      <c r="E63" s="444">
        <f t="shared" si="14"/>
        <v>6000</v>
      </c>
      <c r="F63" s="444">
        <f t="shared" si="14"/>
        <v>0</v>
      </c>
      <c r="G63" s="444">
        <f t="shared" si="14"/>
        <v>6000</v>
      </c>
      <c r="H63" s="444">
        <f t="shared" si="14"/>
        <v>0</v>
      </c>
      <c r="I63" s="444">
        <f t="shared" si="14"/>
        <v>0</v>
      </c>
      <c r="J63" s="444">
        <f t="shared" si="14"/>
        <v>0</v>
      </c>
      <c r="K63" s="461">
        <f t="shared" si="14"/>
        <v>0</v>
      </c>
      <c r="L63" s="936" t="s">
        <v>117</v>
      </c>
      <c r="M63" s="431"/>
    </row>
    <row r="64" spans="1:13" s="432" customFormat="1" ht="35.25" thickBot="1" thickTop="1">
      <c r="A64" s="463">
        <v>24</v>
      </c>
      <c r="B64" s="446" t="s">
        <v>244</v>
      </c>
      <c r="C64" s="464" t="s">
        <v>86</v>
      </c>
      <c r="D64" s="437">
        <f>E64+107300+6000</f>
        <v>119300</v>
      </c>
      <c r="E64" s="437">
        <f>F64+G64+H64+I64+J64</f>
        <v>6000</v>
      </c>
      <c r="F64" s="437"/>
      <c r="G64" s="437">
        <v>6000</v>
      </c>
      <c r="H64" s="437"/>
      <c r="I64" s="437"/>
      <c r="J64" s="437"/>
      <c r="K64" s="465" t="s">
        <v>258</v>
      </c>
      <c r="L64" s="937"/>
      <c r="M64" s="431"/>
    </row>
    <row r="65" spans="1:13" s="432" customFormat="1" ht="22.5" customHeight="1" thickBot="1" thickTop="1">
      <c r="A65" s="964" t="s">
        <v>677</v>
      </c>
      <c r="B65" s="965"/>
      <c r="C65" s="965"/>
      <c r="D65" s="444">
        <f aca="true" t="shared" si="15" ref="D65:I65">D66</f>
        <v>800000</v>
      </c>
      <c r="E65" s="444">
        <f t="shared" si="15"/>
        <v>148500</v>
      </c>
      <c r="F65" s="444">
        <f t="shared" si="15"/>
        <v>0</v>
      </c>
      <c r="G65" s="444">
        <f t="shared" si="15"/>
        <v>51500</v>
      </c>
      <c r="H65" s="444">
        <f t="shared" si="15"/>
        <v>97000</v>
      </c>
      <c r="I65" s="444">
        <f t="shared" si="15"/>
        <v>0</v>
      </c>
      <c r="J65" s="444"/>
      <c r="K65" s="461"/>
      <c r="L65" s="939" t="s">
        <v>250</v>
      </c>
      <c r="M65" s="431"/>
    </row>
    <row r="66" spans="1:13" s="432" customFormat="1" ht="26.25" customHeight="1" thickBot="1" thickTop="1">
      <c r="A66" s="631">
        <v>25</v>
      </c>
      <c r="B66" s="435" t="s">
        <v>168</v>
      </c>
      <c r="C66" s="449" t="s">
        <v>242</v>
      </c>
      <c r="D66" s="437">
        <v>800000</v>
      </c>
      <c r="E66" s="437">
        <f>SUM(F66,G66,H66,I66,L18)</f>
        <v>148500</v>
      </c>
      <c r="F66" s="437"/>
      <c r="G66" s="445">
        <f>148500-H66</f>
        <v>51500</v>
      </c>
      <c r="H66" s="437">
        <v>97000</v>
      </c>
      <c r="I66" s="437"/>
      <c r="J66" s="437">
        <v>26400</v>
      </c>
      <c r="K66" s="476" t="s">
        <v>260</v>
      </c>
      <c r="L66" s="951"/>
      <c r="M66" s="431"/>
    </row>
    <row r="67" spans="1:13" s="432" customFormat="1" ht="22.5" customHeight="1" thickBot="1" thickTop="1">
      <c r="A67" s="964" t="s">
        <v>245</v>
      </c>
      <c r="B67" s="965"/>
      <c r="C67" s="965"/>
      <c r="D67" s="444">
        <f aca="true" t="shared" si="16" ref="D67:I67">D68</f>
        <v>47580</v>
      </c>
      <c r="E67" s="444">
        <f t="shared" si="16"/>
        <v>15860</v>
      </c>
      <c r="F67" s="444">
        <f t="shared" si="16"/>
        <v>0</v>
      </c>
      <c r="G67" s="444">
        <f t="shared" si="16"/>
        <v>7960</v>
      </c>
      <c r="H67" s="444">
        <f t="shared" si="16"/>
        <v>0</v>
      </c>
      <c r="I67" s="444">
        <f t="shared" si="16"/>
        <v>7900</v>
      </c>
      <c r="J67" s="444"/>
      <c r="K67" s="461"/>
      <c r="L67" s="929" t="s">
        <v>250</v>
      </c>
      <c r="M67" s="431"/>
    </row>
    <row r="68" spans="1:13" s="432" customFormat="1" ht="26.25" customHeight="1" thickTop="1">
      <c r="A68" s="434">
        <v>26</v>
      </c>
      <c r="B68" s="435" t="s">
        <v>246</v>
      </c>
      <c r="C68" s="449" t="s">
        <v>155</v>
      </c>
      <c r="D68" s="437">
        <v>47580</v>
      </c>
      <c r="E68" s="437">
        <f>SUM(F68,G68,H68,I68)</f>
        <v>15860</v>
      </c>
      <c r="F68" s="437"/>
      <c r="G68" s="445">
        <f>15860-I68</f>
        <v>7960</v>
      </c>
      <c r="H68" s="437"/>
      <c r="I68" s="437">
        <v>7900</v>
      </c>
      <c r="J68" s="437">
        <v>26400</v>
      </c>
      <c r="K68" s="439" t="s">
        <v>247</v>
      </c>
      <c r="L68" s="952"/>
      <c r="M68" s="431"/>
    </row>
    <row r="69" spans="2:13" s="415" customFormat="1" ht="12.75" customHeight="1" thickBot="1">
      <c r="B69" s="416"/>
      <c r="D69" s="416"/>
      <c r="L69" s="417"/>
      <c r="M69" s="418"/>
    </row>
    <row r="70" spans="1:13" s="419" customFormat="1" ht="14.25" customHeight="1">
      <c r="A70" s="953" t="s">
        <v>335</v>
      </c>
      <c r="B70" s="941" t="s">
        <v>452</v>
      </c>
      <c r="C70" s="941" t="s">
        <v>74</v>
      </c>
      <c r="D70" s="962" t="s">
        <v>93</v>
      </c>
      <c r="E70" s="941" t="s">
        <v>248</v>
      </c>
      <c r="F70" s="943" t="s">
        <v>75</v>
      </c>
      <c r="G70" s="944"/>
      <c r="H70" s="944"/>
      <c r="I70" s="945"/>
      <c r="J70" s="343"/>
      <c r="K70" s="343"/>
      <c r="L70" s="946" t="s">
        <v>239</v>
      </c>
      <c r="M70" s="418"/>
    </row>
    <row r="71" spans="1:13" s="419" customFormat="1" ht="14.25" customHeight="1">
      <c r="A71" s="954"/>
      <c r="B71" s="942"/>
      <c r="C71" s="942"/>
      <c r="D71" s="963"/>
      <c r="E71" s="942"/>
      <c r="F71" s="949" t="s">
        <v>84</v>
      </c>
      <c r="G71" s="949" t="s">
        <v>76</v>
      </c>
      <c r="H71" s="949"/>
      <c r="I71" s="949"/>
      <c r="J71" s="420"/>
      <c r="K71" s="420"/>
      <c r="L71" s="947"/>
      <c r="M71" s="418"/>
    </row>
    <row r="72" spans="1:13" s="419" customFormat="1" ht="14.25" customHeight="1">
      <c r="A72" s="954"/>
      <c r="B72" s="942"/>
      <c r="C72" s="942"/>
      <c r="D72" s="963"/>
      <c r="E72" s="942"/>
      <c r="F72" s="950"/>
      <c r="G72" s="933" t="s">
        <v>451</v>
      </c>
      <c r="H72" s="933" t="s">
        <v>249</v>
      </c>
      <c r="I72" s="933" t="s">
        <v>85</v>
      </c>
      <c r="J72" s="421" t="s">
        <v>113</v>
      </c>
      <c r="K72" s="933" t="s">
        <v>157</v>
      </c>
      <c r="L72" s="947"/>
      <c r="M72" s="418"/>
    </row>
    <row r="73" spans="1:13" s="419" customFormat="1" ht="14.25" customHeight="1">
      <c r="A73" s="954"/>
      <c r="B73" s="942"/>
      <c r="C73" s="942"/>
      <c r="D73" s="963"/>
      <c r="E73" s="942"/>
      <c r="F73" s="950"/>
      <c r="G73" s="934"/>
      <c r="H73" s="934"/>
      <c r="I73" s="934"/>
      <c r="J73" s="422"/>
      <c r="K73" s="934"/>
      <c r="L73" s="947"/>
      <c r="M73" s="418"/>
    </row>
    <row r="74" spans="1:13" s="419" customFormat="1" ht="15" customHeight="1">
      <c r="A74" s="954"/>
      <c r="B74" s="942"/>
      <c r="C74" s="942"/>
      <c r="D74" s="963"/>
      <c r="E74" s="942"/>
      <c r="F74" s="950"/>
      <c r="G74" s="934"/>
      <c r="H74" s="934"/>
      <c r="I74" s="934"/>
      <c r="J74" s="422"/>
      <c r="K74" s="935"/>
      <c r="L74" s="948"/>
      <c r="M74" s="418"/>
    </row>
    <row r="75" spans="1:13" s="428" customFormat="1" ht="10.5" customHeight="1">
      <c r="A75" s="423">
        <v>1</v>
      </c>
      <c r="B75" s="424">
        <v>2</v>
      </c>
      <c r="C75" s="424">
        <v>3</v>
      </c>
      <c r="D75" s="425">
        <v>4</v>
      </c>
      <c r="E75" s="424">
        <v>5</v>
      </c>
      <c r="F75" s="424">
        <v>6</v>
      </c>
      <c r="G75" s="426">
        <v>7</v>
      </c>
      <c r="H75" s="426">
        <v>8</v>
      </c>
      <c r="I75" s="426">
        <v>9</v>
      </c>
      <c r="J75" s="426">
        <v>10</v>
      </c>
      <c r="K75" s="426">
        <v>10</v>
      </c>
      <c r="L75" s="477">
        <v>11</v>
      </c>
      <c r="M75" s="427"/>
    </row>
    <row r="76" spans="1:13" s="432" customFormat="1" ht="22.5" customHeight="1" thickBot="1">
      <c r="A76" s="977" t="s">
        <v>251</v>
      </c>
      <c r="B76" s="978"/>
      <c r="C76" s="978"/>
      <c r="D76" s="644">
        <f aca="true" t="shared" si="17" ref="D76:I76">D77</f>
        <v>60000</v>
      </c>
      <c r="E76" s="644">
        <f t="shared" si="17"/>
        <v>60000</v>
      </c>
      <c r="F76" s="644">
        <f t="shared" si="17"/>
        <v>0</v>
      </c>
      <c r="G76" s="644">
        <f t="shared" si="17"/>
        <v>60000</v>
      </c>
      <c r="H76" s="644">
        <f t="shared" si="17"/>
        <v>0</v>
      </c>
      <c r="I76" s="644">
        <f t="shared" si="17"/>
        <v>0</v>
      </c>
      <c r="J76" s="644"/>
      <c r="K76" s="645"/>
      <c r="L76" s="929" t="s">
        <v>252</v>
      </c>
      <c r="M76" s="431"/>
    </row>
    <row r="77" spans="1:13" s="432" customFormat="1" ht="32.25" customHeight="1" thickBot="1" thickTop="1">
      <c r="A77" s="455">
        <v>27</v>
      </c>
      <c r="B77" s="456" t="s">
        <v>254</v>
      </c>
      <c r="C77" s="646" t="s">
        <v>253</v>
      </c>
      <c r="D77" s="457">
        <f>E77</f>
        <v>60000</v>
      </c>
      <c r="E77" s="457">
        <f>SUM(F77,G77,H77,I77)</f>
        <v>60000</v>
      </c>
      <c r="F77" s="457"/>
      <c r="G77" s="458">
        <v>60000</v>
      </c>
      <c r="H77" s="457"/>
      <c r="I77" s="457"/>
      <c r="J77" s="457">
        <v>26400</v>
      </c>
      <c r="K77" s="647" t="s">
        <v>258</v>
      </c>
      <c r="L77" s="930"/>
      <c r="M77" s="431"/>
    </row>
    <row r="78" spans="1:13" s="650" customFormat="1" ht="18.75" customHeight="1" thickBot="1">
      <c r="A78" s="975" t="s">
        <v>82</v>
      </c>
      <c r="B78" s="976"/>
      <c r="C78" s="976"/>
      <c r="D78" s="648">
        <f>D79+D93+D85</f>
        <v>2299500</v>
      </c>
      <c r="E78" s="648">
        <f>E79+E93+E85</f>
        <v>465000</v>
      </c>
      <c r="F78" s="648">
        <f>F79+F93+F85</f>
        <v>304000</v>
      </c>
      <c r="G78" s="648">
        <f>G79+G93+G85</f>
        <v>161000</v>
      </c>
      <c r="H78" s="648">
        <f>H79+H93</f>
        <v>0</v>
      </c>
      <c r="I78" s="648">
        <f>I79+I93</f>
        <v>0</v>
      </c>
      <c r="J78" s="648">
        <f>J79+J93</f>
        <v>0</v>
      </c>
      <c r="K78" s="648">
        <f>K79+K93</f>
        <v>0</v>
      </c>
      <c r="L78" s="402"/>
      <c r="M78" s="649"/>
    </row>
    <row r="79" spans="1:13" s="650" customFormat="1" ht="18.75" customHeight="1" thickBot="1" thickTop="1">
      <c r="A79" s="971" t="s">
        <v>122</v>
      </c>
      <c r="B79" s="972"/>
      <c r="C79" s="972"/>
      <c r="D79" s="651">
        <f aca="true" t="shared" si="18" ref="D79:I79">SUM(D80:D84)</f>
        <v>1464500</v>
      </c>
      <c r="E79" s="651">
        <f t="shared" si="18"/>
        <v>59000</v>
      </c>
      <c r="F79" s="651">
        <f t="shared" si="18"/>
        <v>0</v>
      </c>
      <c r="G79" s="651">
        <f t="shared" si="18"/>
        <v>59000</v>
      </c>
      <c r="H79" s="651">
        <f t="shared" si="18"/>
        <v>0</v>
      </c>
      <c r="I79" s="651">
        <f t="shared" si="18"/>
        <v>0</v>
      </c>
      <c r="J79" s="651">
        <f>J92</f>
        <v>0</v>
      </c>
      <c r="K79" s="652"/>
      <c r="L79" s="936" t="s">
        <v>256</v>
      </c>
      <c r="M79" s="649"/>
    </row>
    <row r="80" spans="1:13" s="650" customFormat="1" ht="32.25" customHeight="1" thickTop="1">
      <c r="A80" s="653">
        <v>28</v>
      </c>
      <c r="B80" s="654" t="s">
        <v>255</v>
      </c>
      <c r="C80" s="655">
        <v>2009</v>
      </c>
      <c r="D80" s="656">
        <f>E80</f>
        <v>10000</v>
      </c>
      <c r="E80" s="656">
        <f>SUM(F80,G80,H80,I80,L78)</f>
        <v>10000</v>
      </c>
      <c r="F80" s="656"/>
      <c r="G80" s="656">
        <v>10000</v>
      </c>
      <c r="H80" s="656"/>
      <c r="I80" s="656"/>
      <c r="J80" s="656"/>
      <c r="K80" s="465" t="s">
        <v>259</v>
      </c>
      <c r="L80" s="937"/>
      <c r="M80" s="649"/>
    </row>
    <row r="81" spans="1:13" s="432" customFormat="1" ht="30" customHeight="1">
      <c r="A81" s="603">
        <v>29</v>
      </c>
      <c r="B81" s="440" t="s">
        <v>678</v>
      </c>
      <c r="C81" s="657" t="s">
        <v>242</v>
      </c>
      <c r="D81" s="442">
        <v>520500</v>
      </c>
      <c r="E81" s="437">
        <f>SUM(F81,G81,H81,I81,L81)</f>
        <v>15000</v>
      </c>
      <c r="F81" s="442"/>
      <c r="G81" s="442">
        <v>15000</v>
      </c>
      <c r="H81" s="443"/>
      <c r="I81" s="442"/>
      <c r="J81" s="442"/>
      <c r="K81" s="604"/>
      <c r="L81" s="931" t="s">
        <v>250</v>
      </c>
      <c r="M81" s="431"/>
    </row>
    <row r="82" spans="1:13" s="432" customFormat="1" ht="30" customHeight="1">
      <c r="A82" s="603">
        <v>30</v>
      </c>
      <c r="B82" s="440" t="s">
        <v>423</v>
      </c>
      <c r="C82" s="657" t="s">
        <v>253</v>
      </c>
      <c r="D82" s="442">
        <f>530000</f>
        <v>530000</v>
      </c>
      <c r="E82" s="437">
        <f>SUM(F82,G82,H82,I82,L82)</f>
        <v>30000</v>
      </c>
      <c r="F82" s="442"/>
      <c r="G82" s="442">
        <v>30000</v>
      </c>
      <c r="H82" s="443"/>
      <c r="I82" s="442"/>
      <c r="J82" s="442"/>
      <c r="K82" s="604"/>
      <c r="L82" s="931"/>
      <c r="M82" s="431"/>
    </row>
    <row r="83" spans="1:13" s="432" customFormat="1" ht="30" customHeight="1">
      <c r="A83" s="603">
        <v>31</v>
      </c>
      <c r="B83" s="440" t="s">
        <v>757</v>
      </c>
      <c r="C83" s="657" t="s">
        <v>253</v>
      </c>
      <c r="D83" s="442">
        <f>200000+E83</f>
        <v>202000</v>
      </c>
      <c r="E83" s="437">
        <f>SUM(F83,G83,H83,I83,L83)</f>
        <v>2000</v>
      </c>
      <c r="F83" s="442"/>
      <c r="G83" s="442">
        <v>2000</v>
      </c>
      <c r="H83" s="443"/>
      <c r="I83" s="442"/>
      <c r="J83" s="442"/>
      <c r="K83" s="604"/>
      <c r="L83" s="931"/>
      <c r="M83" s="431"/>
    </row>
    <row r="84" spans="1:13" s="432" customFormat="1" ht="30" customHeight="1" thickBot="1">
      <c r="A84" s="603">
        <v>32</v>
      </c>
      <c r="B84" s="440" t="s">
        <v>756</v>
      </c>
      <c r="C84" s="657" t="s">
        <v>253</v>
      </c>
      <c r="D84" s="442">
        <f>200000+E84</f>
        <v>202000</v>
      </c>
      <c r="E84" s="437">
        <f>SUM(F84,G84,H84,I84,L84)</f>
        <v>2000</v>
      </c>
      <c r="F84" s="442"/>
      <c r="G84" s="442">
        <v>2000</v>
      </c>
      <c r="H84" s="443"/>
      <c r="I84" s="442"/>
      <c r="J84" s="442"/>
      <c r="K84" s="604"/>
      <c r="L84" s="931"/>
      <c r="M84" s="431"/>
    </row>
    <row r="85" spans="1:13" s="432" customFormat="1" ht="22.5" customHeight="1" thickBot="1" thickTop="1">
      <c r="A85" s="964" t="s">
        <v>679</v>
      </c>
      <c r="B85" s="965"/>
      <c r="C85" s="965"/>
      <c r="D85" s="444">
        <f aca="true" t="shared" si="19" ref="D85:J85">SUM(D86:D86)</f>
        <v>835000</v>
      </c>
      <c r="E85" s="444">
        <f t="shared" si="19"/>
        <v>406000</v>
      </c>
      <c r="F85" s="444">
        <f t="shared" si="19"/>
        <v>304000</v>
      </c>
      <c r="G85" s="444">
        <f t="shared" si="19"/>
        <v>102000</v>
      </c>
      <c r="H85" s="444">
        <f t="shared" si="19"/>
        <v>0</v>
      </c>
      <c r="I85" s="444">
        <f t="shared" si="19"/>
        <v>0</v>
      </c>
      <c r="J85" s="444">
        <f t="shared" si="19"/>
        <v>0</v>
      </c>
      <c r="K85" s="461"/>
      <c r="L85" s="931"/>
      <c r="M85" s="431"/>
    </row>
    <row r="86" spans="1:13" s="432" customFormat="1" ht="39.75" thickBot="1" thickTop="1">
      <c r="A86" s="434">
        <v>33</v>
      </c>
      <c r="B86" s="435" t="s">
        <v>422</v>
      </c>
      <c r="C86" s="460" t="s">
        <v>242</v>
      </c>
      <c r="D86" s="437">
        <v>835000</v>
      </c>
      <c r="E86" s="437">
        <f>SUM(F86,G86,H86,I86,)</f>
        <v>406000</v>
      </c>
      <c r="F86" s="437">
        <v>304000</v>
      </c>
      <c r="G86" s="445">
        <f>406000-F86</f>
        <v>102000</v>
      </c>
      <c r="H86" s="437"/>
      <c r="I86" s="437"/>
      <c r="J86" s="445"/>
      <c r="K86" s="439" t="s">
        <v>680</v>
      </c>
      <c r="L86" s="931"/>
      <c r="M86" s="431"/>
    </row>
    <row r="87" spans="1:13" s="432" customFormat="1" ht="21.75" customHeight="1" thickBot="1">
      <c r="A87" s="973" t="s">
        <v>681</v>
      </c>
      <c r="B87" s="974"/>
      <c r="C87" s="974"/>
      <c r="D87" s="429">
        <f>D88+D96</f>
        <v>1521000</v>
      </c>
      <c r="E87" s="429">
        <f>E88</f>
        <v>454000</v>
      </c>
      <c r="F87" s="429">
        <f>F88+F96</f>
        <v>0</v>
      </c>
      <c r="G87" s="429">
        <f>G88+G96</f>
        <v>454000</v>
      </c>
      <c r="H87" s="429">
        <f>H88+H96</f>
        <v>0</v>
      </c>
      <c r="I87" s="429">
        <f>I88+I96</f>
        <v>0</v>
      </c>
      <c r="J87" s="429">
        <f>J88+J96</f>
        <v>0</v>
      </c>
      <c r="K87" s="430"/>
      <c r="L87" s="931"/>
      <c r="M87" s="431"/>
    </row>
    <row r="88" spans="1:13" s="432" customFormat="1" ht="22.5" customHeight="1" thickBot="1">
      <c r="A88" s="960" t="s">
        <v>682</v>
      </c>
      <c r="B88" s="961"/>
      <c r="C88" s="961"/>
      <c r="D88" s="433">
        <f aca="true" t="shared" si="20" ref="D88:I88">SUM(D89:D91)</f>
        <v>1521000</v>
      </c>
      <c r="E88" s="433">
        <f t="shared" si="20"/>
        <v>454000</v>
      </c>
      <c r="F88" s="433">
        <f t="shared" si="20"/>
        <v>0</v>
      </c>
      <c r="G88" s="433">
        <f t="shared" si="20"/>
        <v>454000</v>
      </c>
      <c r="H88" s="433">
        <f t="shared" si="20"/>
        <v>0</v>
      </c>
      <c r="I88" s="433">
        <f t="shared" si="20"/>
        <v>0</v>
      </c>
      <c r="J88" s="433">
        <f>SUM(J89:J94)</f>
        <v>0</v>
      </c>
      <c r="K88" s="658"/>
      <c r="L88" s="931"/>
      <c r="M88" s="431"/>
    </row>
    <row r="89" spans="1:13" s="432" customFormat="1" ht="39" thickTop="1">
      <c r="A89" s="434">
        <v>34</v>
      </c>
      <c r="B89" s="435" t="s">
        <v>683</v>
      </c>
      <c r="C89" s="460" t="s">
        <v>155</v>
      </c>
      <c r="D89" s="437">
        <f>802000+E89</f>
        <v>1206000</v>
      </c>
      <c r="E89" s="437">
        <f>SUM(F89,G89,H89,I89)</f>
        <v>404000</v>
      </c>
      <c r="F89" s="437"/>
      <c r="G89" s="437">
        <v>404000</v>
      </c>
      <c r="H89" s="437"/>
      <c r="I89" s="437"/>
      <c r="J89" s="437"/>
      <c r="K89" s="437"/>
      <c r="L89" s="931"/>
      <c r="M89" s="431"/>
    </row>
    <row r="90" spans="1:13" s="432" customFormat="1" ht="24.75" customHeight="1">
      <c r="A90" s="434">
        <v>35</v>
      </c>
      <c r="B90" s="435" t="s">
        <v>684</v>
      </c>
      <c r="C90" s="460" t="s">
        <v>253</v>
      </c>
      <c r="D90" s="437">
        <v>300000</v>
      </c>
      <c r="E90" s="437">
        <f>SUM(F90,G90,H90,I90)</f>
        <v>35000</v>
      </c>
      <c r="F90" s="437"/>
      <c r="G90" s="437">
        <v>35000</v>
      </c>
      <c r="H90" s="437"/>
      <c r="I90" s="437"/>
      <c r="J90" s="437"/>
      <c r="K90" s="437"/>
      <c r="L90" s="931"/>
      <c r="M90" s="431"/>
    </row>
    <row r="91" spans="1:13" s="432" customFormat="1" ht="24.75" customHeight="1" thickBot="1">
      <c r="A91" s="434">
        <v>36</v>
      </c>
      <c r="B91" s="435" t="s">
        <v>758</v>
      </c>
      <c r="C91" s="460">
        <v>2009</v>
      </c>
      <c r="D91" s="437">
        <f>E91</f>
        <v>15000</v>
      </c>
      <c r="E91" s="437">
        <f>SUM(F91,G91,H91,I91)</f>
        <v>15000</v>
      </c>
      <c r="F91" s="437"/>
      <c r="G91" s="437">
        <v>15000</v>
      </c>
      <c r="H91" s="437"/>
      <c r="I91" s="437"/>
      <c r="J91" s="437"/>
      <c r="K91" s="437"/>
      <c r="L91" s="932"/>
      <c r="M91" s="431"/>
    </row>
    <row r="92" spans="1:13" s="432" customFormat="1" ht="22.5" customHeight="1" thickBot="1">
      <c r="A92" s="466"/>
      <c r="B92" s="957" t="s">
        <v>92</v>
      </c>
      <c r="C92" s="958"/>
      <c r="D92" s="467">
        <f aca="true" t="shared" si="21" ref="D92:I92">D87+D78+D62+D59+D46+D40+D36+D18+D9</f>
        <v>26526994</v>
      </c>
      <c r="E92" s="467">
        <f t="shared" si="21"/>
        <v>5855188</v>
      </c>
      <c r="F92" s="467">
        <f t="shared" si="21"/>
        <v>767100</v>
      </c>
      <c r="G92" s="467">
        <f t="shared" si="21"/>
        <v>2811884</v>
      </c>
      <c r="H92" s="467">
        <f t="shared" si="21"/>
        <v>1696400</v>
      </c>
      <c r="I92" s="467">
        <f t="shared" si="21"/>
        <v>579804</v>
      </c>
      <c r="J92" s="467"/>
      <c r="K92" s="467"/>
      <c r="L92" s="430"/>
      <c r="M92" s="431"/>
    </row>
    <row r="93" spans="1:12" s="470" customFormat="1" ht="14.25" customHeight="1">
      <c r="A93" s="468"/>
      <c r="B93" s="415"/>
      <c r="C93" s="415"/>
      <c r="D93" s="416"/>
      <c r="E93" s="416"/>
      <c r="F93" s="415"/>
      <c r="G93" s="415"/>
      <c r="H93" s="416"/>
      <c r="I93" s="416"/>
      <c r="J93" s="415"/>
      <c r="K93" s="415"/>
      <c r="L93" s="469"/>
    </row>
    <row r="94" spans="5:9" ht="18.75" customHeight="1">
      <c r="E94" s="472"/>
      <c r="H94" s="472"/>
      <c r="I94" s="472"/>
    </row>
    <row r="95" spans="5:11" ht="18.75" customHeight="1">
      <c r="E95" s="472"/>
      <c r="H95" s="472"/>
      <c r="I95" s="473"/>
      <c r="K95" s="474"/>
    </row>
    <row r="96" ht="18.75" customHeight="1">
      <c r="E96" s="472"/>
    </row>
  </sheetData>
  <mergeCells count="91">
    <mergeCell ref="K52:K54"/>
    <mergeCell ref="L63:L64"/>
    <mergeCell ref="A67:C67"/>
    <mergeCell ref="D30:D34"/>
    <mergeCell ref="E30:E34"/>
    <mergeCell ref="F30:I30"/>
    <mergeCell ref="F31:F34"/>
    <mergeCell ref="G31:I31"/>
    <mergeCell ref="K47:K48"/>
    <mergeCell ref="E50:E54"/>
    <mergeCell ref="A10:C10"/>
    <mergeCell ref="A18:C18"/>
    <mergeCell ref="K5:K7"/>
    <mergeCell ref="D3:D7"/>
    <mergeCell ref="B3:B7"/>
    <mergeCell ref="C3:C7"/>
    <mergeCell ref="A9:C9"/>
    <mergeCell ref="A1:L1"/>
    <mergeCell ref="I5:I7"/>
    <mergeCell ref="L3:L7"/>
    <mergeCell ref="A3:A7"/>
    <mergeCell ref="G4:I4"/>
    <mergeCell ref="E3:E7"/>
    <mergeCell ref="G5:G7"/>
    <mergeCell ref="H5:H7"/>
    <mergeCell ref="F4:F7"/>
    <mergeCell ref="F3:I3"/>
    <mergeCell ref="B92:C92"/>
    <mergeCell ref="A60:C60"/>
    <mergeCell ref="A59:C59"/>
    <mergeCell ref="A79:C79"/>
    <mergeCell ref="A62:C62"/>
    <mergeCell ref="A87:C87"/>
    <mergeCell ref="A88:C88"/>
    <mergeCell ref="A78:C78"/>
    <mergeCell ref="A76:C76"/>
    <mergeCell ref="A63:C63"/>
    <mergeCell ref="F51:F54"/>
    <mergeCell ref="A85:C85"/>
    <mergeCell ref="G51:I51"/>
    <mergeCell ref="G52:G54"/>
    <mergeCell ref="H52:H54"/>
    <mergeCell ref="I52:I54"/>
    <mergeCell ref="A65:C65"/>
    <mergeCell ref="A70:A74"/>
    <mergeCell ref="B70:B74"/>
    <mergeCell ref="C70:C74"/>
    <mergeCell ref="A46:C46"/>
    <mergeCell ref="A47:C47"/>
    <mergeCell ref="A36:C36"/>
    <mergeCell ref="A37:C37"/>
    <mergeCell ref="A43:C43"/>
    <mergeCell ref="A41:C41"/>
    <mergeCell ref="D70:D74"/>
    <mergeCell ref="D50:D54"/>
    <mergeCell ref="A56:C56"/>
    <mergeCell ref="A50:A54"/>
    <mergeCell ref="B50:B54"/>
    <mergeCell ref="C50:C54"/>
    <mergeCell ref="L11:L12"/>
    <mergeCell ref="L13:L16"/>
    <mergeCell ref="L20:L28"/>
    <mergeCell ref="B30:B34"/>
    <mergeCell ref="C30:C34"/>
    <mergeCell ref="G32:G34"/>
    <mergeCell ref="H32:H34"/>
    <mergeCell ref="A19:C19"/>
    <mergeCell ref="L38:L39"/>
    <mergeCell ref="I32:I34"/>
    <mergeCell ref="A30:A34"/>
    <mergeCell ref="L44:L45"/>
    <mergeCell ref="L30:L34"/>
    <mergeCell ref="K32:K34"/>
    <mergeCell ref="A40:C40"/>
    <mergeCell ref="L47:L48"/>
    <mergeCell ref="L60:L61"/>
    <mergeCell ref="E70:E74"/>
    <mergeCell ref="F70:I70"/>
    <mergeCell ref="L70:L74"/>
    <mergeCell ref="F71:F74"/>
    <mergeCell ref="G71:I71"/>
    <mergeCell ref="L65:L66"/>
    <mergeCell ref="L67:L68"/>
    <mergeCell ref="F50:I50"/>
    <mergeCell ref="L76:L77"/>
    <mergeCell ref="L81:L91"/>
    <mergeCell ref="G72:G74"/>
    <mergeCell ref="H72:H74"/>
    <mergeCell ref="I72:I74"/>
    <mergeCell ref="K72:K74"/>
    <mergeCell ref="L79:L80"/>
  </mergeCells>
  <printOptions/>
  <pageMargins left="0.1968503937007874" right="0.15748031496062992" top="0.75" bottom="0.31496062992125984" header="0.11811023622047245" footer="0.11811023622047245"/>
  <pageSetup horizontalDpi="300" verticalDpi="300" orientation="landscape" paperSize="9" scale="85" r:id="rId1"/>
  <headerFooter alignWithMargins="0">
    <oddHeader>&amp;R&amp;"Arial CE,Pogrubiony"Załącznik Nr &amp;A&amp;"Arial CE,Standardowy"
&amp;9do Uchwały Rady Gminy
Miłkowice Nr XXXV/181/2009
z dnia 30 stycznia 2009 roku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0"/>
  <dimension ref="A1:L216"/>
  <sheetViews>
    <sheetView zoomScale="75" zoomScaleNormal="75" workbookViewId="0" topLeftCell="A172">
      <selection activeCell="A183" sqref="A183:A192"/>
    </sheetView>
  </sheetViews>
  <sheetFormatPr defaultColWidth="9.00390625" defaultRowHeight="18.75" customHeight="1"/>
  <cols>
    <col min="1" max="1" width="18.875" style="541" customWidth="1"/>
    <col min="2" max="2" width="34.375" style="541" customWidth="1"/>
    <col min="3" max="3" width="14.00390625" style="541" customWidth="1"/>
    <col min="4" max="4" width="11.00390625" style="541" customWidth="1"/>
    <col min="5" max="5" width="24.00390625" style="542" customWidth="1"/>
    <col min="6" max="6" width="14.25390625" style="541" bestFit="1" customWidth="1"/>
    <col min="7" max="7" width="12.75390625" style="541" customWidth="1"/>
    <col min="8" max="8" width="12.25390625" style="541" customWidth="1"/>
    <col min="9" max="9" width="11.875" style="541" bestFit="1" customWidth="1"/>
    <col min="10" max="10" width="11.375" style="541" hidden="1" customWidth="1"/>
    <col min="11" max="11" width="4.125" style="541" customWidth="1"/>
    <col min="12" max="16384" width="6.75390625" style="541" customWidth="1"/>
  </cols>
  <sheetData>
    <row r="1" spans="1:11" s="481" customFormat="1" ht="21" customHeight="1">
      <c r="A1" s="1028" t="s">
        <v>182</v>
      </c>
      <c r="B1" s="1028"/>
      <c r="C1" s="1028"/>
      <c r="D1" s="1028"/>
      <c r="E1" s="1028"/>
      <c r="F1" s="1028"/>
      <c r="G1" s="1028"/>
      <c r="H1" s="1028"/>
      <c r="I1" s="1028"/>
      <c r="J1" s="479"/>
      <c r="K1" s="480"/>
    </row>
    <row r="2" spans="1:11" s="481" customFormat="1" ht="10.5" customHeight="1">
      <c r="A2" s="479"/>
      <c r="B2" s="479"/>
      <c r="C2" s="479"/>
      <c r="D2" s="479"/>
      <c r="E2" s="479"/>
      <c r="F2" s="479"/>
      <c r="G2" s="479"/>
      <c r="H2" s="479"/>
      <c r="I2" s="479"/>
      <c r="J2" s="479"/>
      <c r="K2" s="480"/>
    </row>
    <row r="3" spans="2:11" s="482" customFormat="1" ht="12" customHeight="1" thickBot="1">
      <c r="B3" s="483"/>
      <c r="C3" s="484"/>
      <c r="E3" s="483"/>
      <c r="I3" s="484" t="s">
        <v>321</v>
      </c>
      <c r="K3" s="485"/>
    </row>
    <row r="4" spans="1:11" s="487" customFormat="1" ht="14.25" customHeight="1">
      <c r="A4" s="1043" t="s">
        <v>174</v>
      </c>
      <c r="B4" s="1046" t="s">
        <v>452</v>
      </c>
      <c r="C4" s="1025" t="s">
        <v>190</v>
      </c>
      <c r="D4" s="1043" t="s">
        <v>175</v>
      </c>
      <c r="E4" s="1037" t="s">
        <v>176</v>
      </c>
      <c r="F4" s="1038"/>
      <c r="G4" s="1029" t="s">
        <v>188</v>
      </c>
      <c r="H4" s="1030"/>
      <c r="I4" s="1031"/>
      <c r="J4" s="486"/>
      <c r="K4" s="485"/>
    </row>
    <row r="5" spans="1:11" s="487" customFormat="1" ht="14.25" customHeight="1">
      <c r="A5" s="1044"/>
      <c r="B5" s="1047"/>
      <c r="C5" s="1026"/>
      <c r="D5" s="1044"/>
      <c r="E5" s="1039"/>
      <c r="F5" s="1040"/>
      <c r="G5" s="1032"/>
      <c r="H5" s="1033"/>
      <c r="I5" s="1034"/>
      <c r="J5" s="488"/>
      <c r="K5" s="485"/>
    </row>
    <row r="6" spans="1:11" s="487" customFormat="1" ht="17.25" customHeight="1">
      <c r="A6" s="1044"/>
      <c r="B6" s="1047"/>
      <c r="C6" s="1026"/>
      <c r="D6" s="1044"/>
      <c r="E6" s="1039"/>
      <c r="F6" s="1040"/>
      <c r="G6" s="1035" t="s">
        <v>56</v>
      </c>
      <c r="H6" s="1035" t="s">
        <v>112</v>
      </c>
      <c r="I6" s="1023" t="s">
        <v>47</v>
      </c>
      <c r="J6" s="489" t="s">
        <v>113</v>
      </c>
      <c r="K6" s="485"/>
    </row>
    <row r="7" spans="1:11" s="487" customFormat="1" ht="9" customHeight="1" thickBot="1">
      <c r="A7" s="1045"/>
      <c r="B7" s="1048"/>
      <c r="C7" s="1024"/>
      <c r="D7" s="1045"/>
      <c r="E7" s="1041"/>
      <c r="F7" s="1042"/>
      <c r="G7" s="1036"/>
      <c r="H7" s="1036"/>
      <c r="I7" s="1024"/>
      <c r="J7" s="490"/>
      <c r="K7" s="485"/>
    </row>
    <row r="8" spans="1:11" s="496" customFormat="1" ht="9" customHeight="1">
      <c r="A8" s="491">
        <v>1</v>
      </c>
      <c r="B8" s="491">
        <v>2</v>
      </c>
      <c r="C8" s="492">
        <v>3</v>
      </c>
      <c r="D8" s="491">
        <v>4</v>
      </c>
      <c r="E8" s="1027">
        <v>5</v>
      </c>
      <c r="F8" s="1027"/>
      <c r="G8" s="493">
        <v>6</v>
      </c>
      <c r="H8" s="493">
        <v>7</v>
      </c>
      <c r="I8" s="493">
        <v>8</v>
      </c>
      <c r="J8" s="494">
        <v>10</v>
      </c>
      <c r="K8" s="495"/>
    </row>
    <row r="9" spans="1:11" s="502" customFormat="1" ht="21" customHeight="1">
      <c r="A9" s="983" t="s">
        <v>527</v>
      </c>
      <c r="B9" s="990" t="s">
        <v>718</v>
      </c>
      <c r="C9" s="993" t="s">
        <v>115</v>
      </c>
      <c r="D9" s="996" t="s">
        <v>155</v>
      </c>
      <c r="E9" s="497" t="s">
        <v>180</v>
      </c>
      <c r="F9" s="498">
        <f>SUM(F10:F13)</f>
        <v>177800</v>
      </c>
      <c r="G9" s="499">
        <f>SUM(G10:G13)</f>
        <v>164000</v>
      </c>
      <c r="H9" s="499">
        <f>SUM(H10:H13)</f>
        <v>0</v>
      </c>
      <c r="I9" s="499">
        <f>SUM(I10:I13)</f>
        <v>0</v>
      </c>
      <c r="J9" s="500"/>
      <c r="K9" s="501"/>
    </row>
    <row r="10" spans="1:11" s="502" customFormat="1" ht="15" customHeight="1">
      <c r="A10" s="984"/>
      <c r="B10" s="991"/>
      <c r="C10" s="994"/>
      <c r="D10" s="997"/>
      <c r="E10" s="503" t="s">
        <v>181</v>
      </c>
      <c r="F10" s="504">
        <f>G10+H10+I10</f>
        <v>0</v>
      </c>
      <c r="G10" s="505">
        <v>0</v>
      </c>
      <c r="H10" s="505"/>
      <c r="I10" s="505"/>
      <c r="J10" s="500"/>
      <c r="K10" s="501"/>
    </row>
    <row r="11" spans="1:11" s="502" customFormat="1" ht="15" customHeight="1">
      <c r="A11" s="984"/>
      <c r="B11" s="991"/>
      <c r="C11" s="994"/>
      <c r="D11" s="997"/>
      <c r="E11" s="503" t="s">
        <v>185</v>
      </c>
      <c r="F11" s="504">
        <f>G11+H11+I11+13800</f>
        <v>63400</v>
      </c>
      <c r="G11" s="505">
        <v>49600</v>
      </c>
      <c r="H11" s="505"/>
      <c r="I11" s="505"/>
      <c r="J11" s="500"/>
      <c r="K11" s="501"/>
    </row>
    <row r="12" spans="1:11" s="502" customFormat="1" ht="15" customHeight="1">
      <c r="A12" s="984"/>
      <c r="B12" s="991"/>
      <c r="C12" s="994"/>
      <c r="D12" s="997"/>
      <c r="E12" s="503" t="s">
        <v>186</v>
      </c>
      <c r="F12" s="504">
        <f>G12+H12+I12</f>
        <v>85400</v>
      </c>
      <c r="G12" s="505">
        <v>85400</v>
      </c>
      <c r="H12" s="505"/>
      <c r="I12" s="505"/>
      <c r="J12" s="500"/>
      <c r="K12" s="501"/>
    </row>
    <row r="13" spans="1:11" s="502" customFormat="1" ht="15" customHeight="1">
      <c r="A13" s="984"/>
      <c r="B13" s="992"/>
      <c r="C13" s="995"/>
      <c r="D13" s="998"/>
      <c r="E13" s="506" t="s">
        <v>187</v>
      </c>
      <c r="F13" s="507">
        <f>G13+H13+I13</f>
        <v>29000</v>
      </c>
      <c r="G13" s="508">
        <v>29000</v>
      </c>
      <c r="H13" s="508"/>
      <c r="I13" s="508"/>
      <c r="J13" s="500"/>
      <c r="K13" s="501"/>
    </row>
    <row r="14" spans="1:11" s="502" customFormat="1" ht="21" customHeight="1">
      <c r="A14" s="984"/>
      <c r="B14" s="990" t="s">
        <v>719</v>
      </c>
      <c r="C14" s="993" t="s">
        <v>115</v>
      </c>
      <c r="D14" s="996" t="s">
        <v>432</v>
      </c>
      <c r="E14" s="497" t="s">
        <v>180</v>
      </c>
      <c r="F14" s="498">
        <f>SUM(F15:F18)</f>
        <v>8754700</v>
      </c>
      <c r="G14" s="499">
        <f>SUM(G15:G18)</f>
        <v>712400</v>
      </c>
      <c r="H14" s="499">
        <f>SUM(H15:H18)</f>
        <v>4000000</v>
      </c>
      <c r="I14" s="499">
        <f>SUM(I15:I18)</f>
        <v>4000000</v>
      </c>
      <c r="J14" s="500"/>
      <c r="K14" s="501"/>
    </row>
    <row r="15" spans="1:11" s="502" customFormat="1" ht="15" customHeight="1">
      <c r="A15" s="984"/>
      <c r="B15" s="991"/>
      <c r="C15" s="994"/>
      <c r="D15" s="997"/>
      <c r="E15" s="503" t="s">
        <v>181</v>
      </c>
      <c r="F15" s="504">
        <f>G15+H15+I15</f>
        <v>4534100</v>
      </c>
      <c r="G15" s="505">
        <v>463100</v>
      </c>
      <c r="H15" s="505">
        <v>2035500</v>
      </c>
      <c r="I15" s="505">
        <v>2035500</v>
      </c>
      <c r="J15" s="500"/>
      <c r="K15" s="501"/>
    </row>
    <row r="16" spans="1:11" s="502" customFormat="1" ht="15" customHeight="1">
      <c r="A16" s="984"/>
      <c r="B16" s="991"/>
      <c r="C16" s="994"/>
      <c r="D16" s="997"/>
      <c r="E16" s="503" t="s">
        <v>185</v>
      </c>
      <c r="F16" s="504">
        <f>G16+H16+I16+42300</f>
        <v>2483600</v>
      </c>
      <c r="G16" s="505">
        <v>249300</v>
      </c>
      <c r="H16" s="505">
        <v>1096000</v>
      </c>
      <c r="I16" s="505">
        <v>1096000</v>
      </c>
      <c r="J16" s="500"/>
      <c r="K16" s="501"/>
    </row>
    <row r="17" spans="1:11" s="502" customFormat="1" ht="15" customHeight="1">
      <c r="A17" s="984"/>
      <c r="B17" s="991"/>
      <c r="C17" s="994"/>
      <c r="D17" s="997"/>
      <c r="E17" s="503" t="s">
        <v>186</v>
      </c>
      <c r="F17" s="504">
        <f>G17+H17+I17</f>
        <v>0</v>
      </c>
      <c r="G17" s="505">
        <v>0</v>
      </c>
      <c r="H17" s="505">
        <v>0</v>
      </c>
      <c r="I17" s="505">
        <v>0</v>
      </c>
      <c r="J17" s="500"/>
      <c r="K17" s="501"/>
    </row>
    <row r="18" spans="1:11" s="502" customFormat="1" ht="15" customHeight="1">
      <c r="A18" s="984"/>
      <c r="B18" s="992"/>
      <c r="C18" s="995"/>
      <c r="D18" s="998"/>
      <c r="E18" s="506" t="s">
        <v>187</v>
      </c>
      <c r="F18" s="507">
        <f>G18+H18+I18</f>
        <v>1737000</v>
      </c>
      <c r="G18" s="508">
        <v>0</v>
      </c>
      <c r="H18" s="508">
        <v>868500</v>
      </c>
      <c r="I18" s="508">
        <v>868500</v>
      </c>
      <c r="J18" s="500"/>
      <c r="K18" s="501"/>
    </row>
    <row r="19" spans="1:11" s="502" customFormat="1" ht="21" customHeight="1">
      <c r="A19" s="984"/>
      <c r="B19" s="991" t="s">
        <v>720</v>
      </c>
      <c r="C19" s="993" t="s">
        <v>115</v>
      </c>
      <c r="D19" s="996" t="s">
        <v>432</v>
      </c>
      <c r="E19" s="497" t="s">
        <v>180</v>
      </c>
      <c r="F19" s="498">
        <f>SUM(F20:F23)</f>
        <v>5117000</v>
      </c>
      <c r="G19" s="499">
        <f>SUM(G20:G23)</f>
        <v>110000</v>
      </c>
      <c r="H19" s="499">
        <f>SUM(H20:H23)</f>
        <v>2500000</v>
      </c>
      <c r="I19" s="499">
        <f>SUM(I20:I23)</f>
        <v>2500000</v>
      </c>
      <c r="J19" s="500"/>
      <c r="K19" s="501"/>
    </row>
    <row r="20" spans="1:11" s="502" customFormat="1" ht="15" customHeight="1">
      <c r="A20" s="984"/>
      <c r="B20" s="991"/>
      <c r="C20" s="994"/>
      <c r="D20" s="997"/>
      <c r="E20" s="509" t="s">
        <v>181</v>
      </c>
      <c r="F20" s="504">
        <f>G20+H20+I20</f>
        <v>4250000</v>
      </c>
      <c r="G20" s="505">
        <v>0</v>
      </c>
      <c r="H20" s="505">
        <v>2125000</v>
      </c>
      <c r="I20" s="505">
        <v>2125000</v>
      </c>
      <c r="J20" s="500"/>
      <c r="K20" s="501"/>
    </row>
    <row r="21" spans="1:11" s="502" customFormat="1" ht="15" customHeight="1">
      <c r="A21" s="984"/>
      <c r="B21" s="991"/>
      <c r="C21" s="994"/>
      <c r="D21" s="997"/>
      <c r="E21" s="509" t="s">
        <v>185</v>
      </c>
      <c r="F21" s="504">
        <f>G21+H21+I21+7000</f>
        <v>253000</v>
      </c>
      <c r="G21" s="505">
        <v>46000</v>
      </c>
      <c r="H21" s="505">
        <v>100000</v>
      </c>
      <c r="I21" s="505">
        <v>100000</v>
      </c>
      <c r="J21" s="500"/>
      <c r="K21" s="501"/>
    </row>
    <row r="22" spans="1:11" s="502" customFormat="1" ht="15" customHeight="1">
      <c r="A22" s="984"/>
      <c r="B22" s="991"/>
      <c r="C22" s="994"/>
      <c r="D22" s="997"/>
      <c r="E22" s="509" t="s">
        <v>186</v>
      </c>
      <c r="F22" s="504">
        <f>G22+H22+I22</f>
        <v>414000</v>
      </c>
      <c r="G22" s="505">
        <v>64000</v>
      </c>
      <c r="H22" s="505">
        <v>175000</v>
      </c>
      <c r="I22" s="505">
        <v>175000</v>
      </c>
      <c r="J22" s="500"/>
      <c r="K22" s="501"/>
    </row>
    <row r="23" spans="1:11" s="502" customFormat="1" ht="15" customHeight="1">
      <c r="A23" s="984"/>
      <c r="B23" s="992"/>
      <c r="C23" s="995"/>
      <c r="D23" s="998"/>
      <c r="E23" s="510" t="s">
        <v>187</v>
      </c>
      <c r="F23" s="507">
        <f>G23+H23+I23</f>
        <v>200000</v>
      </c>
      <c r="G23" s="508">
        <v>0</v>
      </c>
      <c r="H23" s="508">
        <v>100000</v>
      </c>
      <c r="I23" s="508">
        <v>100000</v>
      </c>
      <c r="J23" s="500"/>
      <c r="K23" s="501"/>
    </row>
    <row r="24" spans="1:11" s="502" customFormat="1" ht="21" customHeight="1">
      <c r="A24" s="984"/>
      <c r="B24" s="991" t="s">
        <v>721</v>
      </c>
      <c r="C24" s="993" t="s">
        <v>115</v>
      </c>
      <c r="D24" s="996" t="s">
        <v>722</v>
      </c>
      <c r="E24" s="497" t="s">
        <v>180</v>
      </c>
      <c r="F24" s="498">
        <f>SUM(F25:F28)</f>
        <v>3100000</v>
      </c>
      <c r="G24" s="526">
        <f>SUM(G25:G28)</f>
        <v>0</v>
      </c>
      <c r="H24" s="526">
        <f>SUM(H25:H28)</f>
        <v>100000</v>
      </c>
      <c r="I24" s="526">
        <f>SUM(I25:I28)</f>
        <v>1500000</v>
      </c>
      <c r="J24" s="500"/>
      <c r="K24" s="501"/>
    </row>
    <row r="25" spans="1:11" s="502" customFormat="1" ht="15" customHeight="1">
      <c r="A25" s="984"/>
      <c r="B25" s="991"/>
      <c r="C25" s="994"/>
      <c r="D25" s="997"/>
      <c r="E25" s="509" t="s">
        <v>181</v>
      </c>
      <c r="F25" s="504">
        <f>G25+H25+I25+1125000</f>
        <v>2250000</v>
      </c>
      <c r="G25" s="526"/>
      <c r="H25" s="526">
        <v>0</v>
      </c>
      <c r="I25" s="512">
        <v>1125000</v>
      </c>
      <c r="J25" s="500"/>
      <c r="K25" s="501"/>
    </row>
    <row r="26" spans="1:11" s="502" customFormat="1" ht="15" customHeight="1">
      <c r="A26" s="984"/>
      <c r="B26" s="991"/>
      <c r="C26" s="994"/>
      <c r="D26" s="997"/>
      <c r="E26" s="509" t="s">
        <v>185</v>
      </c>
      <c r="F26" s="504">
        <f>G26+H26+I26+75000</f>
        <v>250000</v>
      </c>
      <c r="G26" s="505"/>
      <c r="H26" s="505">
        <v>100000</v>
      </c>
      <c r="I26" s="529">
        <v>75000</v>
      </c>
      <c r="J26" s="500"/>
      <c r="K26" s="501"/>
    </row>
    <row r="27" spans="1:11" s="502" customFormat="1" ht="15" customHeight="1">
      <c r="A27" s="984"/>
      <c r="B27" s="991"/>
      <c r="C27" s="994"/>
      <c r="D27" s="997"/>
      <c r="E27" s="509" t="s">
        <v>186</v>
      </c>
      <c r="F27" s="504">
        <f>G27+H27+I27+225000</f>
        <v>450000</v>
      </c>
      <c r="G27" s="505"/>
      <c r="H27" s="505">
        <v>0</v>
      </c>
      <c r="I27" s="529">
        <v>225000</v>
      </c>
      <c r="J27" s="500"/>
      <c r="K27" s="501"/>
    </row>
    <row r="28" spans="1:11" s="502" customFormat="1" ht="15" customHeight="1">
      <c r="A28" s="984"/>
      <c r="B28" s="992"/>
      <c r="C28" s="995"/>
      <c r="D28" s="998"/>
      <c r="E28" s="510" t="s">
        <v>187</v>
      </c>
      <c r="F28" s="507">
        <f>G28+H28+I28+75000</f>
        <v>150000</v>
      </c>
      <c r="G28" s="508"/>
      <c r="H28" s="508">
        <v>0</v>
      </c>
      <c r="I28" s="522">
        <v>75000</v>
      </c>
      <c r="J28" s="500"/>
      <c r="K28" s="501"/>
    </row>
    <row r="29" spans="1:11" s="502" customFormat="1" ht="20.25" customHeight="1">
      <c r="A29" s="984"/>
      <c r="B29" s="990" t="s">
        <v>723</v>
      </c>
      <c r="C29" s="994" t="s">
        <v>115</v>
      </c>
      <c r="D29" s="996" t="s">
        <v>242</v>
      </c>
      <c r="E29" s="497" t="s">
        <v>180</v>
      </c>
      <c r="F29" s="498">
        <f>SUM(F30:F33)</f>
        <v>603700</v>
      </c>
      <c r="G29" s="508">
        <f>SUM(G30:G33)</f>
        <v>0</v>
      </c>
      <c r="H29" s="508">
        <f>SUM(H30:H33)</f>
        <v>582000</v>
      </c>
      <c r="I29" s="508">
        <f>SUM(I30:I33)</f>
        <v>0</v>
      </c>
      <c r="J29" s="500"/>
      <c r="K29" s="501"/>
    </row>
    <row r="30" spans="1:11" s="502" customFormat="1" ht="15" customHeight="1">
      <c r="A30" s="984"/>
      <c r="B30" s="991"/>
      <c r="C30" s="994"/>
      <c r="D30" s="997"/>
      <c r="E30" s="503" t="s">
        <v>181</v>
      </c>
      <c r="F30" s="504">
        <f>G30+H30+I30</f>
        <v>0</v>
      </c>
      <c r="G30" s="505"/>
      <c r="H30" s="505">
        <v>0</v>
      </c>
      <c r="I30" s="505"/>
      <c r="J30" s="500"/>
      <c r="K30" s="501"/>
    </row>
    <row r="31" spans="1:11" s="502" customFormat="1" ht="15" customHeight="1">
      <c r="A31" s="984"/>
      <c r="B31" s="991"/>
      <c r="C31" s="994"/>
      <c r="D31" s="997"/>
      <c r="E31" s="503" t="s">
        <v>185</v>
      </c>
      <c r="F31" s="504">
        <f>G31+H31+I31+21700</f>
        <v>35100</v>
      </c>
      <c r="G31" s="505"/>
      <c r="H31" s="505">
        <v>13400</v>
      </c>
      <c r="I31" s="505"/>
      <c r="J31" s="500"/>
      <c r="K31" s="501"/>
    </row>
    <row r="32" spans="1:11" s="502" customFormat="1" ht="15" customHeight="1">
      <c r="A32" s="984"/>
      <c r="B32" s="991"/>
      <c r="C32" s="994"/>
      <c r="D32" s="997"/>
      <c r="E32" s="503" t="s">
        <v>186</v>
      </c>
      <c r="F32" s="504">
        <f>G32+H32+I32</f>
        <v>426000</v>
      </c>
      <c r="G32" s="505"/>
      <c r="H32" s="505">
        <v>426000</v>
      </c>
      <c r="I32" s="505"/>
      <c r="J32" s="500"/>
      <c r="K32" s="501"/>
    </row>
    <row r="33" spans="1:11" s="502" customFormat="1" ht="15" customHeight="1">
      <c r="A33" s="985"/>
      <c r="B33" s="992"/>
      <c r="C33" s="995"/>
      <c r="D33" s="998"/>
      <c r="E33" s="506" t="s">
        <v>187</v>
      </c>
      <c r="F33" s="507">
        <f>G33+H33+I33</f>
        <v>142600</v>
      </c>
      <c r="G33" s="508"/>
      <c r="H33" s="508">
        <v>142600</v>
      </c>
      <c r="I33" s="508"/>
      <c r="J33" s="512"/>
      <c r="K33" s="501"/>
    </row>
    <row r="34" spans="1:11" s="805" customFormat="1" ht="14.25" customHeight="1">
      <c r="A34" s="803"/>
      <c r="B34" s="517"/>
      <c r="C34" s="518"/>
      <c r="D34" s="519"/>
      <c r="E34" s="503"/>
      <c r="F34" s="504"/>
      <c r="G34" s="504"/>
      <c r="H34" s="504"/>
      <c r="I34" s="504"/>
      <c r="J34" s="504"/>
      <c r="K34" s="804"/>
    </row>
    <row r="35" spans="1:11" s="805" customFormat="1" ht="14.25" customHeight="1">
      <c r="A35" s="803"/>
      <c r="B35" s="517"/>
      <c r="C35" s="518"/>
      <c r="D35" s="519"/>
      <c r="E35" s="503"/>
      <c r="F35" s="504"/>
      <c r="G35" s="504"/>
      <c r="H35" s="504"/>
      <c r="I35" s="504"/>
      <c r="J35" s="504"/>
      <c r="K35" s="804"/>
    </row>
    <row r="36" spans="1:11" s="805" customFormat="1" ht="15" customHeight="1">
      <c r="A36" s="803"/>
      <c r="B36" s="517"/>
      <c r="C36" s="518"/>
      <c r="D36" s="519"/>
      <c r="E36" s="503"/>
      <c r="F36" s="504"/>
      <c r="G36" s="504"/>
      <c r="H36" s="504"/>
      <c r="I36" s="504"/>
      <c r="J36" s="504"/>
      <c r="K36" s="804"/>
    </row>
    <row r="37" spans="1:11" s="805" customFormat="1" ht="15.75" customHeight="1">
      <c r="A37" s="803"/>
      <c r="B37" s="517"/>
      <c r="C37" s="518"/>
      <c r="D37" s="519"/>
      <c r="E37" s="503"/>
      <c r="F37" s="504"/>
      <c r="G37" s="504"/>
      <c r="H37" s="504"/>
      <c r="I37" s="504"/>
      <c r="J37" s="504"/>
      <c r="K37" s="804"/>
    </row>
    <row r="38" spans="1:11" s="496" customFormat="1" ht="9" customHeight="1">
      <c r="A38" s="871">
        <v>1</v>
      </c>
      <c r="B38" s="871">
        <v>2</v>
      </c>
      <c r="C38" s="872">
        <v>3</v>
      </c>
      <c r="D38" s="871">
        <v>4</v>
      </c>
      <c r="E38" s="982">
        <v>5</v>
      </c>
      <c r="F38" s="982"/>
      <c r="G38" s="872">
        <v>6</v>
      </c>
      <c r="H38" s="872">
        <v>7</v>
      </c>
      <c r="I38" s="872">
        <v>8</v>
      </c>
      <c r="J38" s="494">
        <v>10</v>
      </c>
      <c r="K38" s="495"/>
    </row>
    <row r="39" spans="1:11" s="502" customFormat="1" ht="21" customHeight="1">
      <c r="A39" s="983" t="s">
        <v>527</v>
      </c>
      <c r="B39" s="990" t="s">
        <v>169</v>
      </c>
      <c r="C39" s="993" t="s">
        <v>115</v>
      </c>
      <c r="D39" s="996" t="s">
        <v>242</v>
      </c>
      <c r="E39" s="520" t="s">
        <v>180</v>
      </c>
      <c r="F39" s="521">
        <f>SUM(F40:F43)</f>
        <v>756000</v>
      </c>
      <c r="G39" s="499">
        <f>SUM(G40:G43)</f>
        <v>660000</v>
      </c>
      <c r="H39" s="498">
        <f>SUM(H40:H43)</f>
        <v>0</v>
      </c>
      <c r="I39" s="499">
        <f>SUM(I40:I43)</f>
        <v>0</v>
      </c>
      <c r="J39" s="522"/>
      <c r="K39" s="501"/>
    </row>
    <row r="40" spans="1:11" s="502" customFormat="1" ht="15" customHeight="1">
      <c r="A40" s="984"/>
      <c r="B40" s="991"/>
      <c r="C40" s="994"/>
      <c r="D40" s="997"/>
      <c r="E40" s="523" t="s">
        <v>181</v>
      </c>
      <c r="F40" s="504">
        <f>G40+H40+I40</f>
        <v>0</v>
      </c>
      <c r="G40" s="505">
        <v>0</v>
      </c>
      <c r="H40" s="504"/>
      <c r="I40" s="505"/>
      <c r="J40" s="500"/>
      <c r="K40" s="501"/>
    </row>
    <row r="41" spans="1:11" s="502" customFormat="1" ht="15" customHeight="1">
      <c r="A41" s="984"/>
      <c r="B41" s="991"/>
      <c r="C41" s="994"/>
      <c r="D41" s="997"/>
      <c r="E41" s="523" t="s">
        <v>185</v>
      </c>
      <c r="F41" s="504">
        <f>G41+H41+I41+96000</f>
        <v>306000</v>
      </c>
      <c r="G41" s="505">
        <v>210000</v>
      </c>
      <c r="H41" s="504"/>
      <c r="I41" s="505"/>
      <c r="J41" s="500"/>
      <c r="K41" s="501"/>
    </row>
    <row r="42" spans="1:11" s="502" customFormat="1" ht="15" customHeight="1">
      <c r="A42" s="984"/>
      <c r="B42" s="991"/>
      <c r="C42" s="994"/>
      <c r="D42" s="997"/>
      <c r="E42" s="523" t="s">
        <v>186</v>
      </c>
      <c r="F42" s="504">
        <f>G42+H42+I42</f>
        <v>450000</v>
      </c>
      <c r="G42" s="505">
        <v>450000</v>
      </c>
      <c r="H42" s="504"/>
      <c r="I42" s="505"/>
      <c r="J42" s="500"/>
      <c r="K42" s="501"/>
    </row>
    <row r="43" spans="1:11" s="502" customFormat="1" ht="12.75" customHeight="1">
      <c r="A43" s="984"/>
      <c r="B43" s="992"/>
      <c r="C43" s="995"/>
      <c r="D43" s="998"/>
      <c r="E43" s="524" t="s">
        <v>187</v>
      </c>
      <c r="F43" s="507">
        <f>G43+H43+I43</f>
        <v>0</v>
      </c>
      <c r="G43" s="508">
        <v>0</v>
      </c>
      <c r="H43" s="507"/>
      <c r="I43" s="508"/>
      <c r="J43" s="512"/>
      <c r="K43" s="501"/>
    </row>
    <row r="44" spans="1:11" s="502" customFormat="1" ht="21" customHeight="1">
      <c r="A44" s="984"/>
      <c r="B44" s="990" t="s">
        <v>651</v>
      </c>
      <c r="C44" s="993" t="s">
        <v>115</v>
      </c>
      <c r="D44" s="996" t="s">
        <v>155</v>
      </c>
      <c r="E44" s="497" t="s">
        <v>180</v>
      </c>
      <c r="F44" s="498">
        <f>SUM(F45:F48)</f>
        <v>196000</v>
      </c>
      <c r="G44" s="499">
        <f>SUM(G45:G48)</f>
        <v>81000</v>
      </c>
      <c r="H44" s="511">
        <f>SUM(H45:H48)</f>
        <v>0</v>
      </c>
      <c r="I44" s="499">
        <f>SUM(I45:I48)</f>
        <v>0</v>
      </c>
      <c r="J44" s="504"/>
      <c r="K44" s="501"/>
    </row>
    <row r="45" spans="1:11" s="502" customFormat="1" ht="15" customHeight="1">
      <c r="A45" s="984"/>
      <c r="B45" s="991"/>
      <c r="C45" s="994"/>
      <c r="D45" s="997"/>
      <c r="E45" s="509" t="s">
        <v>181</v>
      </c>
      <c r="F45" s="504">
        <f>G45+H45+I45</f>
        <v>0</v>
      </c>
      <c r="G45" s="505">
        <v>0</v>
      </c>
      <c r="H45" s="504"/>
      <c r="I45" s="505"/>
      <c r="J45" s="504"/>
      <c r="K45" s="501"/>
    </row>
    <row r="46" spans="1:11" s="502" customFormat="1" ht="15" customHeight="1">
      <c r="A46" s="984"/>
      <c r="B46" s="991"/>
      <c r="C46" s="994"/>
      <c r="D46" s="997"/>
      <c r="E46" s="509" t="s">
        <v>185</v>
      </c>
      <c r="F46" s="504">
        <f>G46+H46+I46+115000</f>
        <v>196000</v>
      </c>
      <c r="G46" s="505">
        <v>81000</v>
      </c>
      <c r="H46" s="504"/>
      <c r="I46" s="505"/>
      <c r="J46" s="504"/>
      <c r="K46" s="501"/>
    </row>
    <row r="47" spans="1:11" s="502" customFormat="1" ht="12" customHeight="1">
      <c r="A47" s="984"/>
      <c r="B47" s="991"/>
      <c r="C47" s="994"/>
      <c r="D47" s="997"/>
      <c r="E47" s="509" t="s">
        <v>186</v>
      </c>
      <c r="F47" s="504">
        <f>G47+H47+I47</f>
        <v>0</v>
      </c>
      <c r="G47" s="505">
        <v>0</v>
      </c>
      <c r="H47" s="504"/>
      <c r="I47" s="505"/>
      <c r="J47" s="504"/>
      <c r="K47" s="501"/>
    </row>
    <row r="48" spans="1:12" s="481" customFormat="1" ht="12" customHeight="1">
      <c r="A48" s="984"/>
      <c r="B48" s="992"/>
      <c r="C48" s="995"/>
      <c r="D48" s="998"/>
      <c r="E48" s="510" t="s">
        <v>187</v>
      </c>
      <c r="F48" s="507">
        <f>G48+H48+I48</f>
        <v>0</v>
      </c>
      <c r="G48" s="508">
        <v>0</v>
      </c>
      <c r="H48" s="507"/>
      <c r="I48" s="508"/>
      <c r="J48" s="513"/>
      <c r="K48" s="514"/>
      <c r="L48" s="515"/>
    </row>
    <row r="49" spans="1:11" s="502" customFormat="1" ht="21" customHeight="1">
      <c r="A49" s="984"/>
      <c r="B49" s="990" t="s">
        <v>419</v>
      </c>
      <c r="C49" s="993" t="s">
        <v>115</v>
      </c>
      <c r="D49" s="996">
        <v>2011</v>
      </c>
      <c r="E49" s="497" t="s">
        <v>180</v>
      </c>
      <c r="F49" s="498">
        <f>SUM(F50:F53)</f>
        <v>1000000</v>
      </c>
      <c r="G49" s="499">
        <f>SUM(G50:G53)</f>
        <v>0</v>
      </c>
      <c r="H49" s="511">
        <f>SUM(H50:H53)</f>
        <v>0</v>
      </c>
      <c r="I49" s="499">
        <f>SUM(I50:I53)</f>
        <v>1000000</v>
      </c>
      <c r="J49" s="522"/>
      <c r="K49" s="501"/>
    </row>
    <row r="50" spans="1:11" s="502" customFormat="1" ht="15" customHeight="1">
      <c r="A50" s="984"/>
      <c r="B50" s="991"/>
      <c r="C50" s="994"/>
      <c r="D50" s="997"/>
      <c r="E50" s="509" t="s">
        <v>181</v>
      </c>
      <c r="F50" s="504">
        <f>G50+H50+I50</f>
        <v>0</v>
      </c>
      <c r="G50" s="505"/>
      <c r="H50" s="504"/>
      <c r="I50" s="505">
        <v>0</v>
      </c>
      <c r="J50" s="500"/>
      <c r="K50" s="501"/>
    </row>
    <row r="51" spans="1:11" s="502" customFormat="1" ht="15" customHeight="1">
      <c r="A51" s="984"/>
      <c r="B51" s="991"/>
      <c r="C51" s="994"/>
      <c r="D51" s="997"/>
      <c r="E51" s="509" t="s">
        <v>185</v>
      </c>
      <c r="F51" s="504">
        <f>G51+H51+I51</f>
        <v>800000</v>
      </c>
      <c r="G51" s="505"/>
      <c r="H51" s="504"/>
      <c r="I51" s="505">
        <v>800000</v>
      </c>
      <c r="J51" s="500"/>
      <c r="K51" s="501"/>
    </row>
    <row r="52" spans="1:11" s="502" customFormat="1" ht="15" customHeight="1">
      <c r="A52" s="984"/>
      <c r="B52" s="991"/>
      <c r="C52" s="994"/>
      <c r="D52" s="997"/>
      <c r="E52" s="509" t="s">
        <v>186</v>
      </c>
      <c r="F52" s="504">
        <f>G52+H52+I52</f>
        <v>150000</v>
      </c>
      <c r="G52" s="505"/>
      <c r="H52" s="504"/>
      <c r="I52" s="505">
        <v>150000</v>
      </c>
      <c r="J52" s="500"/>
      <c r="K52" s="501"/>
    </row>
    <row r="53" spans="1:11" s="502" customFormat="1" ht="15" customHeight="1">
      <c r="A53" s="984"/>
      <c r="B53" s="992"/>
      <c r="C53" s="995"/>
      <c r="D53" s="998"/>
      <c r="E53" s="510" t="s">
        <v>187</v>
      </c>
      <c r="F53" s="507">
        <f>G53+H53+I53</f>
        <v>50000</v>
      </c>
      <c r="G53" s="508"/>
      <c r="H53" s="507"/>
      <c r="I53" s="508">
        <v>50000</v>
      </c>
      <c r="J53" s="500"/>
      <c r="K53" s="501"/>
    </row>
    <row r="54" spans="1:11" s="502" customFormat="1" ht="21" customHeight="1">
      <c r="A54" s="984"/>
      <c r="B54" s="990" t="s">
        <v>189</v>
      </c>
      <c r="C54" s="993" t="s">
        <v>115</v>
      </c>
      <c r="D54" s="996" t="s">
        <v>203</v>
      </c>
      <c r="E54" s="520" t="s">
        <v>180</v>
      </c>
      <c r="F54" s="498">
        <f>SUM(F55:F58)</f>
        <v>1000000</v>
      </c>
      <c r="G54" s="499">
        <f>SUM(G55:G58)</f>
        <v>0</v>
      </c>
      <c r="H54" s="499">
        <f>SUM(H55:H58)</f>
        <v>500000</v>
      </c>
      <c r="I54" s="499">
        <f>SUM(I55:I58)</f>
        <v>500000</v>
      </c>
      <c r="J54" s="500"/>
      <c r="K54" s="501"/>
    </row>
    <row r="55" spans="1:11" s="502" customFormat="1" ht="15" customHeight="1">
      <c r="A55" s="984"/>
      <c r="B55" s="991"/>
      <c r="C55" s="994"/>
      <c r="D55" s="997"/>
      <c r="E55" s="523" t="s">
        <v>181</v>
      </c>
      <c r="F55" s="504">
        <f>G55+H55+I55</f>
        <v>0</v>
      </c>
      <c r="G55" s="505"/>
      <c r="H55" s="505">
        <v>0</v>
      </c>
      <c r="I55" s="505">
        <v>0</v>
      </c>
      <c r="J55" s="500"/>
      <c r="K55" s="501"/>
    </row>
    <row r="56" spans="1:11" s="502" customFormat="1" ht="15" customHeight="1">
      <c r="A56" s="984"/>
      <c r="B56" s="991"/>
      <c r="C56" s="994"/>
      <c r="D56" s="997"/>
      <c r="E56" s="523" t="s">
        <v>185</v>
      </c>
      <c r="F56" s="504">
        <f>G56+H56+I56</f>
        <v>800000</v>
      </c>
      <c r="G56" s="505"/>
      <c r="H56" s="505">
        <v>400000</v>
      </c>
      <c r="I56" s="505">
        <v>400000</v>
      </c>
      <c r="J56" s="500"/>
      <c r="K56" s="501"/>
    </row>
    <row r="57" spans="1:11" s="502" customFormat="1" ht="15" customHeight="1">
      <c r="A57" s="984"/>
      <c r="B57" s="991"/>
      <c r="C57" s="994"/>
      <c r="D57" s="997"/>
      <c r="E57" s="523" t="s">
        <v>186</v>
      </c>
      <c r="F57" s="504">
        <f>G57+H57+I57</f>
        <v>150000</v>
      </c>
      <c r="G57" s="505"/>
      <c r="H57" s="505">
        <v>75000</v>
      </c>
      <c r="I57" s="505">
        <v>75000</v>
      </c>
      <c r="J57" s="500"/>
      <c r="K57" s="501"/>
    </row>
    <row r="58" spans="1:11" s="502" customFormat="1" ht="15" customHeight="1">
      <c r="A58" s="984"/>
      <c r="B58" s="992"/>
      <c r="C58" s="995"/>
      <c r="D58" s="998"/>
      <c r="E58" s="524" t="s">
        <v>187</v>
      </c>
      <c r="F58" s="507">
        <f>G58+H58+I58</f>
        <v>50000</v>
      </c>
      <c r="G58" s="508"/>
      <c r="H58" s="508">
        <v>25000</v>
      </c>
      <c r="I58" s="508">
        <v>25000</v>
      </c>
      <c r="J58" s="500"/>
      <c r="K58" s="501"/>
    </row>
    <row r="59" spans="1:11" s="502" customFormat="1" ht="21" customHeight="1">
      <c r="A59" s="984"/>
      <c r="B59" s="991" t="s">
        <v>420</v>
      </c>
      <c r="C59" s="994" t="s">
        <v>115</v>
      </c>
      <c r="D59" s="997" t="s">
        <v>421</v>
      </c>
      <c r="E59" s="520" t="s">
        <v>180</v>
      </c>
      <c r="F59" s="498">
        <f>SUM(F60:F63)</f>
        <v>1500000</v>
      </c>
      <c r="G59" s="499">
        <f>SUM(G60:G63)</f>
        <v>0</v>
      </c>
      <c r="H59" s="499">
        <f>SUM(H60:H63)</f>
        <v>0</v>
      </c>
      <c r="I59" s="499">
        <f>SUM(I60:I63)</f>
        <v>750000</v>
      </c>
      <c r="J59" s="512"/>
      <c r="K59" s="501"/>
    </row>
    <row r="60" spans="1:11" s="502" customFormat="1" ht="17.25" customHeight="1">
      <c r="A60" s="984"/>
      <c r="B60" s="991"/>
      <c r="C60" s="994"/>
      <c r="D60" s="997"/>
      <c r="E60" s="523" t="s">
        <v>181</v>
      </c>
      <c r="F60" s="504">
        <f>G60+H60+I60+563000</f>
        <v>1125000</v>
      </c>
      <c r="G60" s="505"/>
      <c r="H60" s="505"/>
      <c r="I60" s="505">
        <v>562000</v>
      </c>
      <c r="J60" s="512"/>
      <c r="K60" s="501"/>
    </row>
    <row r="61" spans="1:11" s="502" customFormat="1" ht="17.25" customHeight="1">
      <c r="A61" s="984"/>
      <c r="B61" s="991"/>
      <c r="C61" s="994"/>
      <c r="D61" s="997"/>
      <c r="E61" s="523" t="s">
        <v>185</v>
      </c>
      <c r="F61" s="504">
        <f>G61+H61+I61+37000</f>
        <v>75000</v>
      </c>
      <c r="G61" s="505"/>
      <c r="H61" s="505"/>
      <c r="I61" s="505">
        <v>38000</v>
      </c>
      <c r="J61" s="512"/>
      <c r="K61" s="501"/>
    </row>
    <row r="62" spans="1:11" s="502" customFormat="1" ht="17.25" customHeight="1">
      <c r="A62" s="984"/>
      <c r="B62" s="991"/>
      <c r="C62" s="994"/>
      <c r="D62" s="997"/>
      <c r="E62" s="523" t="s">
        <v>186</v>
      </c>
      <c r="F62" s="504">
        <f>G62+H62+I62+112000</f>
        <v>225000</v>
      </c>
      <c r="G62" s="505"/>
      <c r="H62" s="505"/>
      <c r="I62" s="505">
        <v>113000</v>
      </c>
      <c r="J62" s="512"/>
      <c r="K62" s="501"/>
    </row>
    <row r="63" spans="1:11" s="502" customFormat="1" ht="17.25" customHeight="1">
      <c r="A63" s="984"/>
      <c r="B63" s="991"/>
      <c r="C63" s="995"/>
      <c r="D63" s="998"/>
      <c r="E63" s="524" t="s">
        <v>187</v>
      </c>
      <c r="F63" s="507">
        <f>G63+H63+I63+38000</f>
        <v>75000</v>
      </c>
      <c r="G63" s="508"/>
      <c r="H63" s="508"/>
      <c r="I63" s="508">
        <v>37000</v>
      </c>
      <c r="J63" s="512"/>
      <c r="K63" s="501"/>
    </row>
    <row r="64" spans="1:11" s="502" customFormat="1" ht="21" customHeight="1">
      <c r="A64" s="984"/>
      <c r="B64" s="990" t="s">
        <v>724</v>
      </c>
      <c r="C64" s="994" t="s">
        <v>115</v>
      </c>
      <c r="D64" s="997" t="s">
        <v>253</v>
      </c>
      <c r="E64" s="520" t="s">
        <v>180</v>
      </c>
      <c r="F64" s="498">
        <f>SUM(F65:F68)</f>
        <v>300000</v>
      </c>
      <c r="G64" s="499">
        <f>SUM(G65:G68)</f>
        <v>30000</v>
      </c>
      <c r="H64" s="499">
        <f>SUM(H65:H68)</f>
        <v>270000</v>
      </c>
      <c r="I64" s="499">
        <f>SUM(I65:I68)</f>
        <v>0</v>
      </c>
      <c r="J64" s="512"/>
      <c r="K64" s="501"/>
    </row>
    <row r="65" spans="1:11" s="502" customFormat="1" ht="15" customHeight="1">
      <c r="A65" s="984"/>
      <c r="B65" s="991"/>
      <c r="C65" s="994"/>
      <c r="D65" s="997"/>
      <c r="E65" s="523" t="s">
        <v>181</v>
      </c>
      <c r="F65" s="504">
        <f>G65+H65+I65</f>
        <v>202000</v>
      </c>
      <c r="G65" s="505">
        <v>0</v>
      </c>
      <c r="H65" s="505">
        <v>202000</v>
      </c>
      <c r="I65" s="505"/>
      <c r="J65" s="512"/>
      <c r="K65" s="501"/>
    </row>
    <row r="66" spans="1:11" s="502" customFormat="1" ht="15" customHeight="1">
      <c r="A66" s="984"/>
      <c r="B66" s="991"/>
      <c r="C66" s="994"/>
      <c r="D66" s="997"/>
      <c r="E66" s="523" t="s">
        <v>185</v>
      </c>
      <c r="F66" s="504">
        <f>G66+H66+I66</f>
        <v>98000</v>
      </c>
      <c r="G66" s="505">
        <v>30000</v>
      </c>
      <c r="H66" s="505">
        <v>68000</v>
      </c>
      <c r="I66" s="505"/>
      <c r="J66" s="512"/>
      <c r="K66" s="501"/>
    </row>
    <row r="67" spans="1:11" s="502" customFormat="1" ht="12" customHeight="1">
      <c r="A67" s="984"/>
      <c r="B67" s="991"/>
      <c r="C67" s="994"/>
      <c r="D67" s="997"/>
      <c r="E67" s="523" t="s">
        <v>186</v>
      </c>
      <c r="F67" s="504">
        <f>G67+H67+I67</f>
        <v>0</v>
      </c>
      <c r="G67" s="505">
        <v>0</v>
      </c>
      <c r="H67" s="505">
        <v>0</v>
      </c>
      <c r="I67" s="505"/>
      <c r="J67" s="512"/>
      <c r="K67" s="501"/>
    </row>
    <row r="68" spans="1:11" s="502" customFormat="1" ht="11.25" customHeight="1">
      <c r="A68" s="985"/>
      <c r="B68" s="992"/>
      <c r="C68" s="995"/>
      <c r="D68" s="998"/>
      <c r="E68" s="524" t="s">
        <v>187</v>
      </c>
      <c r="F68" s="507">
        <f>G68+H68+I68</f>
        <v>0</v>
      </c>
      <c r="G68" s="508">
        <v>0</v>
      </c>
      <c r="H68" s="508">
        <v>0</v>
      </c>
      <c r="I68" s="508"/>
      <c r="J68" s="512"/>
      <c r="K68" s="501"/>
    </row>
    <row r="69" spans="1:11" s="502" customFormat="1" ht="21" customHeight="1">
      <c r="A69" s="983" t="s">
        <v>191</v>
      </c>
      <c r="B69" s="990" t="s">
        <v>422</v>
      </c>
      <c r="C69" s="993" t="s">
        <v>115</v>
      </c>
      <c r="D69" s="1002" t="s">
        <v>242</v>
      </c>
      <c r="E69" s="520" t="s">
        <v>180</v>
      </c>
      <c r="F69" s="498">
        <f>SUM(F70:F73)</f>
        <v>835000</v>
      </c>
      <c r="G69" s="499">
        <f>SUM(G70:G73)</f>
        <v>406000</v>
      </c>
      <c r="H69" s="499">
        <f>SUM(H70:H73)</f>
        <v>404000</v>
      </c>
      <c r="I69" s="499">
        <f>SUM(I70:I73)</f>
        <v>0</v>
      </c>
      <c r="J69" s="522"/>
      <c r="K69" s="501"/>
    </row>
    <row r="70" spans="1:11" s="502" customFormat="1" ht="15" customHeight="1">
      <c r="A70" s="984"/>
      <c r="B70" s="991"/>
      <c r="C70" s="994"/>
      <c r="D70" s="1003"/>
      <c r="E70" s="503" t="s">
        <v>181</v>
      </c>
      <c r="F70" s="504">
        <f>G70+H70+I70</f>
        <v>607000</v>
      </c>
      <c r="G70" s="505">
        <v>304000</v>
      </c>
      <c r="H70" s="505">
        <v>303000</v>
      </c>
      <c r="I70" s="505"/>
      <c r="J70" s="500"/>
      <c r="K70" s="501"/>
    </row>
    <row r="71" spans="1:11" s="502" customFormat="1" ht="15" customHeight="1">
      <c r="A71" s="984"/>
      <c r="B71" s="991"/>
      <c r="C71" s="994"/>
      <c r="D71" s="1003"/>
      <c r="E71" s="503" t="s">
        <v>185</v>
      </c>
      <c r="F71" s="504">
        <f>G71+H71+I71+25000</f>
        <v>228000</v>
      </c>
      <c r="G71" s="505">
        <v>102000</v>
      </c>
      <c r="H71" s="505">
        <v>101000</v>
      </c>
      <c r="I71" s="505"/>
      <c r="J71" s="500"/>
      <c r="K71" s="501"/>
    </row>
    <row r="72" spans="1:11" s="502" customFormat="1" ht="15" customHeight="1">
      <c r="A72" s="984"/>
      <c r="B72" s="991"/>
      <c r="C72" s="994"/>
      <c r="D72" s="1003"/>
      <c r="E72" s="503" t="s">
        <v>186</v>
      </c>
      <c r="F72" s="504">
        <f>G72+H72+I72</f>
        <v>0</v>
      </c>
      <c r="G72" s="505">
        <v>0</v>
      </c>
      <c r="H72" s="505">
        <v>0</v>
      </c>
      <c r="I72" s="505"/>
      <c r="J72" s="500"/>
      <c r="K72" s="501"/>
    </row>
    <row r="73" spans="1:11" s="502" customFormat="1" ht="15" customHeight="1">
      <c r="A73" s="985"/>
      <c r="B73" s="992"/>
      <c r="C73" s="995"/>
      <c r="D73" s="1004"/>
      <c r="E73" s="506" t="s">
        <v>187</v>
      </c>
      <c r="F73" s="507">
        <f>G73+H73+I73</f>
        <v>0</v>
      </c>
      <c r="G73" s="508">
        <v>0</v>
      </c>
      <c r="H73" s="508">
        <v>0</v>
      </c>
      <c r="I73" s="508"/>
      <c r="J73" s="512"/>
      <c r="K73" s="501"/>
    </row>
    <row r="74" spans="1:11" s="496" customFormat="1" ht="9" customHeight="1">
      <c r="A74" s="871">
        <v>1</v>
      </c>
      <c r="B74" s="871">
        <v>2</v>
      </c>
      <c r="C74" s="872">
        <v>3</v>
      </c>
      <c r="D74" s="871">
        <v>4</v>
      </c>
      <c r="E74" s="982">
        <v>5</v>
      </c>
      <c r="F74" s="982"/>
      <c r="G74" s="872">
        <v>6</v>
      </c>
      <c r="H74" s="872">
        <v>7</v>
      </c>
      <c r="I74" s="872">
        <v>8</v>
      </c>
      <c r="J74" s="494">
        <v>10</v>
      </c>
      <c r="K74" s="495"/>
    </row>
    <row r="75" spans="1:11" s="502" customFormat="1" ht="20.25" customHeight="1">
      <c r="A75" s="984" t="s">
        <v>191</v>
      </c>
      <c r="B75" s="990" t="s">
        <v>89</v>
      </c>
      <c r="C75" s="993" t="s">
        <v>115</v>
      </c>
      <c r="D75" s="1002" t="s">
        <v>242</v>
      </c>
      <c r="E75" s="520" t="s">
        <v>180</v>
      </c>
      <c r="F75" s="498">
        <f>SUM(F76:F79)</f>
        <v>520500</v>
      </c>
      <c r="G75" s="499">
        <f>SUM(G76:G79)</f>
        <v>15000</v>
      </c>
      <c r="H75" s="498">
        <f>SUM(H76:H79)</f>
        <v>500000</v>
      </c>
      <c r="I75" s="499">
        <f>SUM(I76:I79)</f>
        <v>0</v>
      </c>
      <c r="J75" s="504"/>
      <c r="K75" s="501"/>
    </row>
    <row r="76" spans="1:11" s="502" customFormat="1" ht="15" customHeight="1">
      <c r="A76" s="984"/>
      <c r="B76" s="991"/>
      <c r="C76" s="994"/>
      <c r="D76" s="1003"/>
      <c r="E76" s="503" t="s">
        <v>181</v>
      </c>
      <c r="F76" s="504">
        <f>G76+H76+I76</f>
        <v>0</v>
      </c>
      <c r="G76" s="505">
        <v>0</v>
      </c>
      <c r="H76" s="504">
        <v>0</v>
      </c>
      <c r="I76" s="505"/>
      <c r="J76" s="500"/>
      <c r="K76" s="501"/>
    </row>
    <row r="77" spans="1:11" s="502" customFormat="1" ht="15" customHeight="1">
      <c r="A77" s="984"/>
      <c r="B77" s="991"/>
      <c r="C77" s="994"/>
      <c r="D77" s="1003"/>
      <c r="E77" s="503" t="s">
        <v>185</v>
      </c>
      <c r="F77" s="504">
        <f>G77+I77+H77+5500</f>
        <v>145500</v>
      </c>
      <c r="G77" s="505">
        <v>15000</v>
      </c>
      <c r="H77" s="805">
        <v>125000</v>
      </c>
      <c r="I77" s="505"/>
      <c r="J77" s="500"/>
      <c r="K77" s="501"/>
    </row>
    <row r="78" spans="1:11" s="502" customFormat="1" ht="15" customHeight="1">
      <c r="A78" s="984"/>
      <c r="B78" s="991"/>
      <c r="C78" s="994"/>
      <c r="D78" s="1003"/>
      <c r="E78" s="503" t="s">
        <v>186</v>
      </c>
      <c r="F78" s="504">
        <f>G78+I78+H78</f>
        <v>375000</v>
      </c>
      <c r="G78" s="505">
        <v>0</v>
      </c>
      <c r="H78" s="805">
        <v>375000</v>
      </c>
      <c r="I78" s="505"/>
      <c r="J78" s="500"/>
      <c r="K78" s="501"/>
    </row>
    <row r="79" spans="1:11" s="502" customFormat="1" ht="15" customHeight="1">
      <c r="A79" s="984"/>
      <c r="B79" s="992"/>
      <c r="C79" s="995"/>
      <c r="D79" s="1004"/>
      <c r="E79" s="506" t="s">
        <v>187</v>
      </c>
      <c r="F79" s="507">
        <f>G79+H79+I79</f>
        <v>0</v>
      </c>
      <c r="G79" s="508">
        <v>0</v>
      </c>
      <c r="H79" s="507">
        <v>0</v>
      </c>
      <c r="I79" s="508"/>
      <c r="J79" s="500"/>
      <c r="K79" s="501"/>
    </row>
    <row r="80" spans="1:11" s="502" customFormat="1" ht="21" customHeight="1">
      <c r="A80" s="984"/>
      <c r="B80" s="990" t="s">
        <v>423</v>
      </c>
      <c r="C80" s="999" t="s">
        <v>115</v>
      </c>
      <c r="D80" s="1002" t="s">
        <v>253</v>
      </c>
      <c r="E80" s="520" t="s">
        <v>180</v>
      </c>
      <c r="F80" s="498">
        <f>SUM(F81:F84)</f>
        <v>530000</v>
      </c>
      <c r="G80" s="499">
        <f>SUM(G81:G84)</f>
        <v>30000</v>
      </c>
      <c r="H80" s="499">
        <f>SUM(H81:H84)</f>
        <v>500000</v>
      </c>
      <c r="I80" s="499">
        <f>SUM(I81:I84)</f>
        <v>0</v>
      </c>
      <c r="J80" s="498"/>
      <c r="K80" s="501"/>
    </row>
    <row r="81" spans="1:11" s="502" customFormat="1" ht="15" customHeight="1">
      <c r="A81" s="984"/>
      <c r="B81" s="991"/>
      <c r="C81" s="1000"/>
      <c r="D81" s="1003"/>
      <c r="E81" s="503" t="s">
        <v>181</v>
      </c>
      <c r="F81" s="504">
        <f>G81+H81+I81</f>
        <v>0</v>
      </c>
      <c r="G81" s="505">
        <v>0</v>
      </c>
      <c r="H81" s="505">
        <v>0</v>
      </c>
      <c r="I81" s="505"/>
      <c r="J81" s="498"/>
      <c r="K81" s="501"/>
    </row>
    <row r="82" spans="1:11" s="502" customFormat="1" ht="15" customHeight="1">
      <c r="A82" s="984"/>
      <c r="B82" s="991"/>
      <c r="C82" s="1000"/>
      <c r="D82" s="1003"/>
      <c r="E82" s="503" t="s">
        <v>185</v>
      </c>
      <c r="F82" s="504">
        <f>G82+H82+I82</f>
        <v>55000</v>
      </c>
      <c r="G82" s="505">
        <v>30000</v>
      </c>
      <c r="H82" s="505">
        <v>25000</v>
      </c>
      <c r="I82" s="505"/>
      <c r="J82" s="498"/>
      <c r="K82" s="501"/>
    </row>
    <row r="83" spans="1:11" s="502" customFormat="1" ht="15" customHeight="1">
      <c r="A83" s="984"/>
      <c r="B83" s="991"/>
      <c r="C83" s="1000"/>
      <c r="D83" s="1003"/>
      <c r="E83" s="503" t="s">
        <v>186</v>
      </c>
      <c r="F83" s="504">
        <f>G83+H83+I83</f>
        <v>475000</v>
      </c>
      <c r="G83" s="505">
        <v>0</v>
      </c>
      <c r="H83" s="505">
        <v>475000</v>
      </c>
      <c r="I83" s="505"/>
      <c r="J83" s="498"/>
      <c r="K83" s="501"/>
    </row>
    <row r="84" spans="1:11" s="502" customFormat="1" ht="15" customHeight="1">
      <c r="A84" s="985"/>
      <c r="B84" s="992"/>
      <c r="C84" s="1001"/>
      <c r="D84" s="1004"/>
      <c r="E84" s="506" t="s">
        <v>187</v>
      </c>
      <c r="F84" s="507">
        <f>G84+H84+I84</f>
        <v>0</v>
      </c>
      <c r="G84" s="508">
        <v>0</v>
      </c>
      <c r="H84" s="508">
        <v>0</v>
      </c>
      <c r="I84" s="508"/>
      <c r="J84" s="498"/>
      <c r="K84" s="501"/>
    </row>
    <row r="85" spans="1:11" s="502" customFormat="1" ht="21" customHeight="1">
      <c r="A85" s="983" t="s">
        <v>192</v>
      </c>
      <c r="B85" s="991" t="s">
        <v>166</v>
      </c>
      <c r="C85" s="987" t="s">
        <v>87</v>
      </c>
      <c r="D85" s="1002" t="s">
        <v>242</v>
      </c>
      <c r="E85" s="520" t="s">
        <v>180</v>
      </c>
      <c r="F85" s="498">
        <f>SUM(F86:F89)</f>
        <v>500000</v>
      </c>
      <c r="G85" s="499">
        <f>SUM(G86:G89)</f>
        <v>34400</v>
      </c>
      <c r="H85" s="499">
        <f>SUM(H86:H89)</f>
        <v>460500</v>
      </c>
      <c r="I85" s="499">
        <f>SUM(I86:I86)</f>
        <v>0</v>
      </c>
      <c r="J85" s="498"/>
      <c r="K85" s="501"/>
    </row>
    <row r="86" spans="1:11" s="502" customFormat="1" ht="15" customHeight="1">
      <c r="A86" s="984"/>
      <c r="B86" s="991"/>
      <c r="C86" s="988"/>
      <c r="D86" s="1003"/>
      <c r="E86" s="503" t="s">
        <v>181</v>
      </c>
      <c r="F86" s="504">
        <f>G86+H86+I86</f>
        <v>345400</v>
      </c>
      <c r="G86" s="505">
        <v>0</v>
      </c>
      <c r="H86" s="505">
        <v>345400</v>
      </c>
      <c r="I86" s="505"/>
      <c r="J86" s="500"/>
      <c r="K86" s="501"/>
    </row>
    <row r="87" spans="1:11" s="502" customFormat="1" ht="15" customHeight="1">
      <c r="A87" s="984"/>
      <c r="B87" s="991"/>
      <c r="C87" s="988"/>
      <c r="D87" s="1003"/>
      <c r="E87" s="503" t="s">
        <v>185</v>
      </c>
      <c r="F87" s="504">
        <f>G87+H87+I87+5100</f>
        <v>154600</v>
      </c>
      <c r="G87" s="505">
        <v>34400</v>
      </c>
      <c r="H87" s="505">
        <v>115100</v>
      </c>
      <c r="I87" s="505"/>
      <c r="J87" s="500"/>
      <c r="K87" s="501"/>
    </row>
    <row r="88" spans="1:11" s="502" customFormat="1" ht="15" customHeight="1">
      <c r="A88" s="984"/>
      <c r="B88" s="991"/>
      <c r="C88" s="988"/>
      <c r="D88" s="1003"/>
      <c r="E88" s="503" t="s">
        <v>186</v>
      </c>
      <c r="F88" s="504">
        <f>G88+H88+I88</f>
        <v>0</v>
      </c>
      <c r="G88" s="505">
        <v>0</v>
      </c>
      <c r="H88" s="505">
        <v>0</v>
      </c>
      <c r="I88" s="505"/>
      <c r="J88" s="500"/>
      <c r="K88" s="501"/>
    </row>
    <row r="89" spans="1:11" s="502" customFormat="1" ht="15" customHeight="1">
      <c r="A89" s="985"/>
      <c r="B89" s="992"/>
      <c r="C89" s="989"/>
      <c r="D89" s="1004"/>
      <c r="E89" s="506" t="s">
        <v>187</v>
      </c>
      <c r="F89" s="507">
        <f>G89+H89+I89</f>
        <v>0</v>
      </c>
      <c r="G89" s="508">
        <v>0</v>
      </c>
      <c r="H89" s="508">
        <v>0</v>
      </c>
      <c r="I89" s="508"/>
      <c r="J89" s="500"/>
      <c r="K89" s="501"/>
    </row>
    <row r="90" spans="1:11" s="502" customFormat="1" ht="21" customHeight="1" thickBot="1">
      <c r="A90" s="983" t="s">
        <v>193</v>
      </c>
      <c r="B90" s="990" t="s">
        <v>156</v>
      </c>
      <c r="C90" s="987" t="s">
        <v>87</v>
      </c>
      <c r="D90" s="1002" t="s">
        <v>242</v>
      </c>
      <c r="E90" s="520" t="s">
        <v>180</v>
      </c>
      <c r="F90" s="498">
        <f>SUM(F91:F94)</f>
        <v>2297400</v>
      </c>
      <c r="G90" s="499">
        <f>SUM(G91:G94)</f>
        <v>1300300</v>
      </c>
      <c r="H90" s="499">
        <f>SUM(H91:H94)</f>
        <v>762800</v>
      </c>
      <c r="I90" s="499">
        <f>SUM(I91:I94)</f>
        <v>0</v>
      </c>
      <c r="J90" s="525"/>
      <c r="K90" s="501"/>
    </row>
    <row r="91" spans="1:11" s="502" customFormat="1" ht="15" customHeight="1">
      <c r="A91" s="984"/>
      <c r="B91" s="991"/>
      <c r="C91" s="988"/>
      <c r="D91" s="1003"/>
      <c r="E91" s="503" t="s">
        <v>181</v>
      </c>
      <c r="F91" s="504">
        <f>G91+H91+I91</f>
        <v>0</v>
      </c>
      <c r="G91" s="505">
        <v>0</v>
      </c>
      <c r="H91" s="505">
        <v>0</v>
      </c>
      <c r="I91" s="505"/>
      <c r="J91" s="500"/>
      <c r="K91" s="501"/>
    </row>
    <row r="92" spans="1:11" s="502" customFormat="1" ht="15" customHeight="1">
      <c r="A92" s="984"/>
      <c r="B92" s="991"/>
      <c r="C92" s="988"/>
      <c r="D92" s="1003"/>
      <c r="E92" s="503" t="s">
        <v>185</v>
      </c>
      <c r="F92" s="504">
        <f>G92+H92+I92+139300</f>
        <v>439600</v>
      </c>
      <c r="G92" s="505">
        <v>300300</v>
      </c>
      <c r="H92" s="505">
        <v>0</v>
      </c>
      <c r="I92" s="505"/>
      <c r="J92" s="500"/>
      <c r="K92" s="501"/>
    </row>
    <row r="93" spans="1:11" s="502" customFormat="1" ht="15" customHeight="1">
      <c r="A93" s="984"/>
      <c r="B93" s="991"/>
      <c r="C93" s="988"/>
      <c r="D93" s="1003"/>
      <c r="E93" s="503" t="s">
        <v>186</v>
      </c>
      <c r="F93" s="504">
        <f>G93+H93+I93+95000</f>
        <v>1857800</v>
      </c>
      <c r="G93" s="505">
        <v>1000000</v>
      </c>
      <c r="H93" s="505">
        <v>762800</v>
      </c>
      <c r="I93" s="505"/>
      <c r="J93" s="500"/>
      <c r="K93" s="501"/>
    </row>
    <row r="94" spans="1:11" s="502" customFormat="1" ht="12" customHeight="1">
      <c r="A94" s="985"/>
      <c r="B94" s="992"/>
      <c r="C94" s="989"/>
      <c r="D94" s="1004"/>
      <c r="E94" s="506" t="s">
        <v>187</v>
      </c>
      <c r="F94" s="507">
        <f>G94+H94+I94</f>
        <v>0</v>
      </c>
      <c r="G94" s="508">
        <v>0</v>
      </c>
      <c r="H94" s="508">
        <v>0</v>
      </c>
      <c r="I94" s="508"/>
      <c r="J94" s="500"/>
      <c r="K94" s="501"/>
    </row>
    <row r="95" spans="1:11" s="502" customFormat="1" ht="21" customHeight="1">
      <c r="A95" s="983" t="s">
        <v>194</v>
      </c>
      <c r="B95" s="990" t="s">
        <v>725</v>
      </c>
      <c r="C95" s="987" t="s">
        <v>87</v>
      </c>
      <c r="D95" s="1002" t="s">
        <v>155</v>
      </c>
      <c r="E95" s="520" t="s">
        <v>180</v>
      </c>
      <c r="F95" s="498">
        <f>SUM(F96:F99)</f>
        <v>1206000</v>
      </c>
      <c r="G95" s="499">
        <f>SUM(G96:G99)</f>
        <v>404000</v>
      </c>
      <c r="H95" s="499">
        <f>SUM(H96:H99)</f>
        <v>0</v>
      </c>
      <c r="I95" s="499">
        <f>SUM(I96:I99)</f>
        <v>0</v>
      </c>
      <c r="J95" s="500"/>
      <c r="K95" s="501"/>
    </row>
    <row r="96" spans="1:11" s="502" customFormat="1" ht="15" customHeight="1">
      <c r="A96" s="984"/>
      <c r="B96" s="991"/>
      <c r="C96" s="988"/>
      <c r="D96" s="1003"/>
      <c r="E96" s="503" t="s">
        <v>181</v>
      </c>
      <c r="F96" s="504">
        <f>G96+H96+I96</f>
        <v>0</v>
      </c>
      <c r="G96" s="505">
        <v>0</v>
      </c>
      <c r="H96" s="505"/>
      <c r="I96" s="505"/>
      <c r="J96" s="500"/>
      <c r="K96" s="501"/>
    </row>
    <row r="97" spans="1:11" s="502" customFormat="1" ht="15" customHeight="1">
      <c r="A97" s="984"/>
      <c r="B97" s="991"/>
      <c r="C97" s="988"/>
      <c r="D97" s="1003"/>
      <c r="E97" s="503" t="s">
        <v>185</v>
      </c>
      <c r="F97" s="504">
        <f>G97+H97+I97+6000</f>
        <v>410000</v>
      </c>
      <c r="G97" s="505">
        <v>404000</v>
      </c>
      <c r="H97" s="505"/>
      <c r="I97" s="505"/>
      <c r="J97" s="500"/>
      <c r="K97" s="501"/>
    </row>
    <row r="98" spans="1:11" s="502" customFormat="1" ht="15" customHeight="1">
      <c r="A98" s="984"/>
      <c r="B98" s="991"/>
      <c r="C98" s="988"/>
      <c r="D98" s="1003"/>
      <c r="E98" s="503" t="s">
        <v>186</v>
      </c>
      <c r="F98" s="504">
        <f>G98+H98+I98+130000</f>
        <v>130000</v>
      </c>
      <c r="G98" s="505">
        <v>0</v>
      </c>
      <c r="H98" s="505"/>
      <c r="I98" s="505"/>
      <c r="J98" s="500"/>
      <c r="K98" s="501"/>
    </row>
    <row r="99" spans="1:11" s="502" customFormat="1" ht="15" customHeight="1">
      <c r="A99" s="984"/>
      <c r="B99" s="992"/>
      <c r="C99" s="989"/>
      <c r="D99" s="1004"/>
      <c r="E99" s="506" t="s">
        <v>187</v>
      </c>
      <c r="F99" s="507">
        <f>G99+H99+I99+666000</f>
        <v>666000</v>
      </c>
      <c r="G99" s="508">
        <v>0</v>
      </c>
      <c r="H99" s="508"/>
      <c r="I99" s="508"/>
      <c r="J99" s="512"/>
      <c r="K99" s="501"/>
    </row>
    <row r="100" spans="1:11" s="502" customFormat="1" ht="21" customHeight="1">
      <c r="A100" s="984"/>
      <c r="B100" s="990" t="s">
        <v>726</v>
      </c>
      <c r="C100" s="987" t="s">
        <v>87</v>
      </c>
      <c r="D100" s="1002" t="s">
        <v>167</v>
      </c>
      <c r="E100" s="520" t="s">
        <v>180</v>
      </c>
      <c r="F100" s="498">
        <f>SUM(F101:F104)</f>
        <v>400000</v>
      </c>
      <c r="G100" s="499">
        <f>SUM(G101:G104)</f>
        <v>0</v>
      </c>
      <c r="H100" s="499">
        <f>SUM(H101:H104)</f>
        <v>385000</v>
      </c>
      <c r="I100" s="499">
        <f>SUM(I101:I104)</f>
        <v>0</v>
      </c>
      <c r="J100" s="522"/>
      <c r="K100" s="501"/>
    </row>
    <row r="101" spans="1:11" s="502" customFormat="1" ht="15" customHeight="1">
      <c r="A101" s="984"/>
      <c r="B101" s="991"/>
      <c r="C101" s="988"/>
      <c r="D101" s="1003"/>
      <c r="E101" s="503" t="s">
        <v>181</v>
      </c>
      <c r="F101" s="504">
        <f>G101+H101+I101</f>
        <v>0</v>
      </c>
      <c r="G101" s="505"/>
      <c r="H101" s="505">
        <v>0</v>
      </c>
      <c r="I101" s="505"/>
      <c r="J101" s="500"/>
      <c r="K101" s="501"/>
    </row>
    <row r="102" spans="1:11" s="502" customFormat="1" ht="15" customHeight="1">
      <c r="A102" s="984"/>
      <c r="B102" s="991"/>
      <c r="C102" s="988"/>
      <c r="D102" s="1003"/>
      <c r="E102" s="503" t="s">
        <v>185</v>
      </c>
      <c r="F102" s="504">
        <f>G102+H102+I102+15000</f>
        <v>15000</v>
      </c>
      <c r="G102" s="505"/>
      <c r="H102" s="505">
        <v>0</v>
      </c>
      <c r="I102" s="505"/>
      <c r="J102" s="500"/>
      <c r="K102" s="501"/>
    </row>
    <row r="103" spans="1:11" s="502" customFormat="1" ht="15" customHeight="1">
      <c r="A103" s="984"/>
      <c r="B103" s="991"/>
      <c r="C103" s="988"/>
      <c r="D103" s="1003"/>
      <c r="E103" s="503" t="s">
        <v>186</v>
      </c>
      <c r="F103" s="504">
        <f>G103+H103+I103</f>
        <v>192500</v>
      </c>
      <c r="G103" s="505"/>
      <c r="H103" s="505">
        <v>192500</v>
      </c>
      <c r="I103" s="505"/>
      <c r="J103" s="500"/>
      <c r="K103" s="501"/>
    </row>
    <row r="104" spans="1:11" s="502" customFormat="1" ht="15" customHeight="1">
      <c r="A104" s="984"/>
      <c r="B104" s="992"/>
      <c r="C104" s="989"/>
      <c r="D104" s="1004"/>
      <c r="E104" s="506" t="s">
        <v>187</v>
      </c>
      <c r="F104" s="507">
        <f>G104+H104+I104</f>
        <v>192500</v>
      </c>
      <c r="G104" s="508"/>
      <c r="H104" s="508">
        <v>192500</v>
      </c>
      <c r="I104" s="508"/>
      <c r="J104" s="500"/>
      <c r="K104" s="501"/>
    </row>
    <row r="105" spans="1:11" s="502" customFormat="1" ht="20.25" customHeight="1">
      <c r="A105" s="984"/>
      <c r="B105" s="990" t="s">
        <v>195</v>
      </c>
      <c r="C105" s="987" t="s">
        <v>87</v>
      </c>
      <c r="D105" s="1002" t="s">
        <v>253</v>
      </c>
      <c r="E105" s="520" t="s">
        <v>180</v>
      </c>
      <c r="F105" s="498">
        <f>SUM(F106:F109)</f>
        <v>335000</v>
      </c>
      <c r="G105" s="499">
        <f>SUM(G106:G109)</f>
        <v>35000</v>
      </c>
      <c r="H105" s="498">
        <f>SUM(H106:H109)</f>
        <v>300000</v>
      </c>
      <c r="I105" s="499">
        <f>SUM(I106:I109)</f>
        <v>0</v>
      </c>
      <c r="J105" s="500"/>
      <c r="K105" s="501"/>
    </row>
    <row r="106" spans="1:11" s="502" customFormat="1" ht="15" customHeight="1">
      <c r="A106" s="984"/>
      <c r="B106" s="991"/>
      <c r="C106" s="988"/>
      <c r="D106" s="1003"/>
      <c r="E106" s="503" t="s">
        <v>181</v>
      </c>
      <c r="F106" s="504">
        <f>G106+H106+I106</f>
        <v>225000</v>
      </c>
      <c r="G106" s="505">
        <v>0</v>
      </c>
      <c r="H106" s="504">
        <v>225000</v>
      </c>
      <c r="I106" s="505"/>
      <c r="J106" s="500"/>
      <c r="K106" s="501"/>
    </row>
    <row r="107" spans="1:11" s="502" customFormat="1" ht="15" customHeight="1">
      <c r="A107" s="984"/>
      <c r="B107" s="991"/>
      <c r="C107" s="988"/>
      <c r="D107" s="1003"/>
      <c r="E107" s="503" t="s">
        <v>185</v>
      </c>
      <c r="F107" s="504">
        <f>G107+H107+I107</f>
        <v>110000</v>
      </c>
      <c r="G107" s="505">
        <v>35000</v>
      </c>
      <c r="H107" s="505">
        <v>75000</v>
      </c>
      <c r="I107" s="505"/>
      <c r="J107" s="500"/>
      <c r="K107" s="501"/>
    </row>
    <row r="108" spans="1:11" s="502" customFormat="1" ht="15" customHeight="1">
      <c r="A108" s="984"/>
      <c r="B108" s="991"/>
      <c r="C108" s="988"/>
      <c r="D108" s="1003"/>
      <c r="E108" s="503" t="s">
        <v>186</v>
      </c>
      <c r="F108" s="504">
        <f>G108+H108+I108</f>
        <v>0</v>
      </c>
      <c r="G108" s="505">
        <v>0</v>
      </c>
      <c r="H108" s="505">
        <v>0</v>
      </c>
      <c r="I108" s="505"/>
      <c r="J108" s="500"/>
      <c r="K108" s="501"/>
    </row>
    <row r="109" spans="1:11" s="502" customFormat="1" ht="15" customHeight="1">
      <c r="A109" s="985"/>
      <c r="B109" s="992"/>
      <c r="C109" s="989"/>
      <c r="D109" s="1004"/>
      <c r="E109" s="506" t="s">
        <v>187</v>
      </c>
      <c r="F109" s="507">
        <f>G109+H109+I109</f>
        <v>0</v>
      </c>
      <c r="G109" s="508">
        <v>0</v>
      </c>
      <c r="H109" s="508">
        <v>0</v>
      </c>
      <c r="I109" s="508"/>
      <c r="J109" s="500"/>
      <c r="K109" s="501"/>
    </row>
    <row r="110" spans="1:11" s="496" customFormat="1" ht="9" customHeight="1">
      <c r="A110" s="871">
        <v>1</v>
      </c>
      <c r="B110" s="871">
        <v>2</v>
      </c>
      <c r="C110" s="872">
        <v>3</v>
      </c>
      <c r="D110" s="871">
        <v>4</v>
      </c>
      <c r="E110" s="982">
        <v>5</v>
      </c>
      <c r="F110" s="982"/>
      <c r="G110" s="872">
        <v>6</v>
      </c>
      <c r="H110" s="872">
        <v>7</v>
      </c>
      <c r="I110" s="872">
        <v>8</v>
      </c>
      <c r="J110" s="494">
        <v>10</v>
      </c>
      <c r="K110" s="495"/>
    </row>
    <row r="111" spans="1:11" s="502" customFormat="1" ht="20.25" customHeight="1">
      <c r="A111" s="983" t="s">
        <v>194</v>
      </c>
      <c r="B111" s="1019" t="s">
        <v>196</v>
      </c>
      <c r="C111" s="987" t="s">
        <v>87</v>
      </c>
      <c r="D111" s="1002">
        <v>2010</v>
      </c>
      <c r="E111" s="520" t="s">
        <v>180</v>
      </c>
      <c r="F111" s="498">
        <f>SUM(F112:F115)</f>
        <v>300000</v>
      </c>
      <c r="G111" s="499">
        <f>SUM(G112:G115)</f>
        <v>0</v>
      </c>
      <c r="H111" s="498">
        <f>SUM(H112:H115)</f>
        <v>300000</v>
      </c>
      <c r="I111" s="499">
        <f>SUM(I112:I115)</f>
        <v>0</v>
      </c>
      <c r="J111" s="500"/>
      <c r="K111" s="501"/>
    </row>
    <row r="112" spans="1:11" s="502" customFormat="1" ht="15" customHeight="1">
      <c r="A112" s="984"/>
      <c r="B112" s="1020"/>
      <c r="C112" s="988"/>
      <c r="D112" s="1003"/>
      <c r="E112" s="503" t="s">
        <v>181</v>
      </c>
      <c r="F112" s="504">
        <f>G112+H112+I112</f>
        <v>0</v>
      </c>
      <c r="G112" s="505"/>
      <c r="H112" s="504">
        <v>0</v>
      </c>
      <c r="I112" s="505"/>
      <c r="J112" s="500"/>
      <c r="K112" s="501"/>
    </row>
    <row r="113" spans="1:11" s="502" customFormat="1" ht="15" customHeight="1">
      <c r="A113" s="984"/>
      <c r="B113" s="1020"/>
      <c r="C113" s="988"/>
      <c r="D113" s="1003"/>
      <c r="E113" s="503" t="s">
        <v>185</v>
      </c>
      <c r="F113" s="504">
        <f>G113+H113+I113</f>
        <v>60000</v>
      </c>
      <c r="G113" s="505"/>
      <c r="H113" s="504">
        <v>60000</v>
      </c>
      <c r="I113" s="505"/>
      <c r="J113" s="500"/>
      <c r="K113" s="501"/>
    </row>
    <row r="114" spans="1:11" s="502" customFormat="1" ht="15" customHeight="1">
      <c r="A114" s="984"/>
      <c r="B114" s="1020"/>
      <c r="C114" s="988"/>
      <c r="D114" s="1003"/>
      <c r="E114" s="503" t="s">
        <v>186</v>
      </c>
      <c r="F114" s="504">
        <f>G114+H114+I114</f>
        <v>0</v>
      </c>
      <c r="G114" s="505"/>
      <c r="H114" s="504">
        <v>0</v>
      </c>
      <c r="I114" s="505"/>
      <c r="J114" s="500"/>
      <c r="K114" s="501"/>
    </row>
    <row r="115" spans="1:11" s="502" customFormat="1" ht="15" customHeight="1">
      <c r="A115" s="984"/>
      <c r="B115" s="1021"/>
      <c r="C115" s="989"/>
      <c r="D115" s="1004"/>
      <c r="E115" s="506" t="s">
        <v>187</v>
      </c>
      <c r="F115" s="507">
        <f>G115+H115+I115</f>
        <v>240000</v>
      </c>
      <c r="G115" s="508"/>
      <c r="H115" s="504">
        <v>240000</v>
      </c>
      <c r="I115" s="508"/>
      <c r="J115" s="500"/>
      <c r="K115" s="501"/>
    </row>
    <row r="116" spans="1:12" s="481" customFormat="1" ht="21" customHeight="1">
      <c r="A116" s="984"/>
      <c r="B116" s="1019" t="s">
        <v>198</v>
      </c>
      <c r="C116" s="987" t="s">
        <v>87</v>
      </c>
      <c r="D116" s="1002">
        <v>2010</v>
      </c>
      <c r="E116" s="520" t="s">
        <v>180</v>
      </c>
      <c r="F116" s="498">
        <f>SUM(F117:F120)</f>
        <v>1000000</v>
      </c>
      <c r="G116" s="499">
        <f>SUM(G117:G120)</f>
        <v>0</v>
      </c>
      <c r="H116" s="498">
        <f>SUM(H117:H120)</f>
        <v>1000000</v>
      </c>
      <c r="I116" s="499">
        <f>SUM(I117:I120)</f>
        <v>0</v>
      </c>
      <c r="J116" s="513"/>
      <c r="K116" s="514"/>
      <c r="L116" s="515"/>
    </row>
    <row r="117" spans="1:12" s="481" customFormat="1" ht="15" customHeight="1">
      <c r="A117" s="984"/>
      <c r="B117" s="1020"/>
      <c r="C117" s="988"/>
      <c r="D117" s="1003"/>
      <c r="E117" s="503" t="s">
        <v>181</v>
      </c>
      <c r="F117" s="504">
        <f>G117+H117+I117</f>
        <v>850000</v>
      </c>
      <c r="G117" s="505"/>
      <c r="H117" s="504">
        <v>850000</v>
      </c>
      <c r="I117" s="505"/>
      <c r="J117" s="513"/>
      <c r="K117" s="514"/>
      <c r="L117" s="515"/>
    </row>
    <row r="118" spans="1:12" s="481" customFormat="1" ht="15" customHeight="1">
      <c r="A118" s="984"/>
      <c r="B118" s="1020"/>
      <c r="C118" s="988"/>
      <c r="D118" s="1003"/>
      <c r="E118" s="503" t="s">
        <v>185</v>
      </c>
      <c r="F118" s="504">
        <f>G118+H118+I118</f>
        <v>110000</v>
      </c>
      <c r="G118" s="505"/>
      <c r="H118" s="504">
        <v>110000</v>
      </c>
      <c r="I118" s="505"/>
      <c r="J118" s="513"/>
      <c r="K118" s="514"/>
      <c r="L118" s="515"/>
    </row>
    <row r="119" spans="1:12" s="481" customFormat="1" ht="15" customHeight="1">
      <c r="A119" s="984"/>
      <c r="B119" s="1020"/>
      <c r="C119" s="988"/>
      <c r="D119" s="1003"/>
      <c r="E119" s="503" t="s">
        <v>186</v>
      </c>
      <c r="F119" s="504">
        <f>G119+H119+I119</f>
        <v>40000</v>
      </c>
      <c r="G119" s="505"/>
      <c r="H119" s="504">
        <v>40000</v>
      </c>
      <c r="I119" s="505"/>
      <c r="J119" s="513"/>
      <c r="K119" s="514"/>
      <c r="L119" s="515"/>
    </row>
    <row r="120" spans="1:12" s="481" customFormat="1" ht="15" customHeight="1">
      <c r="A120" s="984"/>
      <c r="B120" s="1021"/>
      <c r="C120" s="989"/>
      <c r="D120" s="1004"/>
      <c r="E120" s="503" t="s">
        <v>187</v>
      </c>
      <c r="F120" s="504">
        <f>G120+H120+I120</f>
        <v>0</v>
      </c>
      <c r="G120" s="505"/>
      <c r="H120" s="504">
        <v>0</v>
      </c>
      <c r="I120" s="505"/>
      <c r="J120" s="513"/>
      <c r="K120" s="514"/>
      <c r="L120" s="515"/>
    </row>
    <row r="121" spans="1:12" s="481" customFormat="1" ht="21" customHeight="1">
      <c r="A121" s="984"/>
      <c r="B121" s="1019" t="s">
        <v>197</v>
      </c>
      <c r="C121" s="987" t="s">
        <v>87</v>
      </c>
      <c r="D121" s="1022" t="s">
        <v>167</v>
      </c>
      <c r="E121" s="520" t="s">
        <v>180</v>
      </c>
      <c r="F121" s="498">
        <f>SUM(F122:F125)</f>
        <v>1609000</v>
      </c>
      <c r="G121" s="499">
        <f>SUM(G122:G125)</f>
        <v>0</v>
      </c>
      <c r="H121" s="498">
        <f>SUM(H122:H125)</f>
        <v>1600000</v>
      </c>
      <c r="I121" s="499">
        <f>SUM(I122:I125)</f>
        <v>0</v>
      </c>
      <c r="J121" s="513"/>
      <c r="K121" s="514"/>
      <c r="L121" s="515"/>
    </row>
    <row r="122" spans="1:12" s="481" customFormat="1" ht="15" customHeight="1">
      <c r="A122" s="984"/>
      <c r="B122" s="1020"/>
      <c r="C122" s="988"/>
      <c r="D122" s="1016"/>
      <c r="E122" s="509" t="s">
        <v>181</v>
      </c>
      <c r="F122" s="504">
        <f>G122+H122+I122</f>
        <v>1360000</v>
      </c>
      <c r="G122" s="505"/>
      <c r="H122" s="504">
        <v>1360000</v>
      </c>
      <c r="I122" s="505"/>
      <c r="J122" s="513"/>
      <c r="K122" s="514"/>
      <c r="L122" s="515"/>
    </row>
    <row r="123" spans="1:12" s="481" customFormat="1" ht="15" customHeight="1">
      <c r="A123" s="984"/>
      <c r="B123" s="1020"/>
      <c r="C123" s="988"/>
      <c r="D123" s="1016"/>
      <c r="E123" s="509" t="s">
        <v>185</v>
      </c>
      <c r="F123" s="504">
        <f>G123+H123+I123+9000</f>
        <v>109000</v>
      </c>
      <c r="G123" s="505"/>
      <c r="H123" s="504">
        <v>100000</v>
      </c>
      <c r="I123" s="505"/>
      <c r="J123" s="513"/>
      <c r="K123" s="514"/>
      <c r="L123" s="515"/>
    </row>
    <row r="124" spans="1:12" s="481" customFormat="1" ht="15" customHeight="1">
      <c r="A124" s="984"/>
      <c r="B124" s="1020"/>
      <c r="C124" s="988"/>
      <c r="D124" s="1016"/>
      <c r="E124" s="509" t="s">
        <v>186</v>
      </c>
      <c r="F124" s="504">
        <f>G124+H124+I124</f>
        <v>140000</v>
      </c>
      <c r="G124" s="505"/>
      <c r="H124" s="504">
        <v>140000</v>
      </c>
      <c r="I124" s="505"/>
      <c r="J124" s="513"/>
      <c r="K124" s="514"/>
      <c r="L124" s="515"/>
    </row>
    <row r="125" spans="1:12" s="481" customFormat="1" ht="12.75" customHeight="1">
      <c r="A125" s="984"/>
      <c r="B125" s="1021"/>
      <c r="C125" s="989"/>
      <c r="D125" s="1017"/>
      <c r="E125" s="510" t="s">
        <v>187</v>
      </c>
      <c r="F125" s="507">
        <f>G125+H125+I125</f>
        <v>0</v>
      </c>
      <c r="G125" s="508"/>
      <c r="H125" s="507">
        <v>0</v>
      </c>
      <c r="I125" s="508"/>
      <c r="J125" s="513"/>
      <c r="K125" s="514"/>
      <c r="L125" s="515"/>
    </row>
    <row r="126" spans="1:11" s="502" customFormat="1" ht="20.25" customHeight="1">
      <c r="A126" s="984"/>
      <c r="B126" s="1019" t="s">
        <v>424</v>
      </c>
      <c r="C126" s="987" t="s">
        <v>87</v>
      </c>
      <c r="D126" s="1002" t="s">
        <v>727</v>
      </c>
      <c r="E126" s="524" t="s">
        <v>180</v>
      </c>
      <c r="F126" s="507">
        <f>SUM(F127:F130)</f>
        <v>466000</v>
      </c>
      <c r="G126" s="508">
        <f>SUM(G127:G130)</f>
        <v>0</v>
      </c>
      <c r="H126" s="507">
        <f>SUM(H127:H130)</f>
        <v>85000</v>
      </c>
      <c r="I126" s="508">
        <f>SUM(I127:I130)</f>
        <v>85000</v>
      </c>
      <c r="J126" s="500"/>
      <c r="K126" s="501"/>
    </row>
    <row r="127" spans="1:11" s="502" customFormat="1" ht="15" customHeight="1">
      <c r="A127" s="984"/>
      <c r="B127" s="1020"/>
      <c r="C127" s="988"/>
      <c r="D127" s="1003"/>
      <c r="E127" s="503" t="s">
        <v>181</v>
      </c>
      <c r="F127" s="504">
        <f>G127+H127+I127</f>
        <v>0</v>
      </c>
      <c r="G127" s="505"/>
      <c r="H127" s="504">
        <v>0</v>
      </c>
      <c r="I127" s="505">
        <v>0</v>
      </c>
      <c r="J127" s="500"/>
      <c r="K127" s="501"/>
    </row>
    <row r="128" spans="1:11" s="502" customFormat="1" ht="15" customHeight="1">
      <c r="A128" s="984"/>
      <c r="B128" s="1020"/>
      <c r="C128" s="988"/>
      <c r="D128" s="1003"/>
      <c r="E128" s="503" t="s">
        <v>185</v>
      </c>
      <c r="F128" s="504">
        <f>G128+H128+I128+32000+95000</f>
        <v>197000</v>
      </c>
      <c r="G128" s="505"/>
      <c r="H128" s="504">
        <v>35000</v>
      </c>
      <c r="I128" s="505">
        <v>35000</v>
      </c>
      <c r="J128" s="500"/>
      <c r="K128" s="501"/>
    </row>
    <row r="129" spans="1:11" s="502" customFormat="1" ht="15" customHeight="1">
      <c r="A129" s="984"/>
      <c r="B129" s="1020"/>
      <c r="C129" s="988"/>
      <c r="D129" s="1003"/>
      <c r="E129" s="503" t="s">
        <v>186</v>
      </c>
      <c r="F129" s="504">
        <f>G129+H129+I129+150000</f>
        <v>250000</v>
      </c>
      <c r="G129" s="505"/>
      <c r="H129" s="504">
        <v>50000</v>
      </c>
      <c r="I129" s="505">
        <v>50000</v>
      </c>
      <c r="J129" s="500"/>
      <c r="K129" s="501"/>
    </row>
    <row r="130" spans="1:11" s="502" customFormat="1" ht="15" customHeight="1">
      <c r="A130" s="985"/>
      <c r="B130" s="1021"/>
      <c r="C130" s="989"/>
      <c r="D130" s="1004"/>
      <c r="E130" s="506" t="s">
        <v>187</v>
      </c>
      <c r="F130" s="507">
        <f>G130+H130+I130+19000</f>
        <v>19000</v>
      </c>
      <c r="G130" s="508"/>
      <c r="H130" s="507">
        <v>0</v>
      </c>
      <c r="I130" s="508">
        <v>0</v>
      </c>
      <c r="J130" s="512"/>
      <c r="K130" s="501"/>
    </row>
    <row r="131" spans="1:11" s="502" customFormat="1" ht="21" customHeight="1">
      <c r="A131" s="983" t="s">
        <v>199</v>
      </c>
      <c r="B131" s="990" t="s">
        <v>425</v>
      </c>
      <c r="C131" s="993" t="s">
        <v>115</v>
      </c>
      <c r="D131" s="996" t="s">
        <v>153</v>
      </c>
      <c r="E131" s="520" t="s">
        <v>180</v>
      </c>
      <c r="F131" s="498">
        <f>SUM(F132:F135)</f>
        <v>283000</v>
      </c>
      <c r="G131" s="499">
        <f>SUM(G132:G135)</f>
        <v>90000</v>
      </c>
      <c r="H131" s="498">
        <f>SUM(H132:H135)</f>
        <v>87000</v>
      </c>
      <c r="I131" s="499">
        <f>SUM(I132:I135)</f>
        <v>89000</v>
      </c>
      <c r="J131" s="522"/>
      <c r="K131" s="501"/>
    </row>
    <row r="132" spans="1:11" s="502" customFormat="1" ht="15" customHeight="1">
      <c r="A132" s="984"/>
      <c r="B132" s="991"/>
      <c r="C132" s="994"/>
      <c r="D132" s="997"/>
      <c r="E132" s="503" t="s">
        <v>181</v>
      </c>
      <c r="F132" s="504">
        <f>G132+H132+I132</f>
        <v>0</v>
      </c>
      <c r="G132" s="505"/>
      <c r="H132" s="504">
        <v>0</v>
      </c>
      <c r="I132" s="505">
        <v>0</v>
      </c>
      <c r="J132" s="500"/>
      <c r="K132" s="501"/>
    </row>
    <row r="133" spans="1:11" s="502" customFormat="1" ht="15" customHeight="1">
      <c r="A133" s="984"/>
      <c r="B133" s="991"/>
      <c r="C133" s="994"/>
      <c r="D133" s="997"/>
      <c r="E133" s="503" t="s">
        <v>185</v>
      </c>
      <c r="F133" s="504">
        <f>G133+H133+I133+17000</f>
        <v>117000</v>
      </c>
      <c r="G133" s="505">
        <v>90000</v>
      </c>
      <c r="H133" s="504">
        <v>4000</v>
      </c>
      <c r="I133" s="505">
        <v>6000</v>
      </c>
      <c r="J133" s="500"/>
      <c r="K133" s="501"/>
    </row>
    <row r="134" spans="1:11" s="502" customFormat="1" ht="15" customHeight="1">
      <c r="A134" s="984"/>
      <c r="B134" s="991"/>
      <c r="C134" s="994"/>
      <c r="D134" s="997"/>
      <c r="E134" s="503" t="s">
        <v>186</v>
      </c>
      <c r="F134" s="504">
        <f>G134+H134+I134</f>
        <v>0</v>
      </c>
      <c r="G134" s="505"/>
      <c r="H134" s="504">
        <v>0</v>
      </c>
      <c r="I134" s="505">
        <v>0</v>
      </c>
      <c r="J134" s="500"/>
      <c r="K134" s="501"/>
    </row>
    <row r="135" spans="1:11" s="502" customFormat="1" ht="15" customHeight="1">
      <c r="A135" s="984"/>
      <c r="B135" s="992"/>
      <c r="C135" s="995"/>
      <c r="D135" s="998"/>
      <c r="E135" s="506" t="s">
        <v>187</v>
      </c>
      <c r="F135" s="507">
        <f>G135+H135+I135</f>
        <v>166000</v>
      </c>
      <c r="G135" s="508"/>
      <c r="H135" s="507">
        <v>83000</v>
      </c>
      <c r="I135" s="508">
        <v>83000</v>
      </c>
      <c r="J135" s="500"/>
      <c r="K135" s="501"/>
    </row>
    <row r="136" spans="1:11" s="805" customFormat="1" ht="21" customHeight="1">
      <c r="A136" s="984"/>
      <c r="B136" s="990" t="s">
        <v>728</v>
      </c>
      <c r="C136" s="993" t="s">
        <v>115</v>
      </c>
      <c r="D136" s="996" t="s">
        <v>155</v>
      </c>
      <c r="E136" s="520" t="s">
        <v>180</v>
      </c>
      <c r="F136" s="498">
        <f>SUM(F137:F140)</f>
        <v>840400</v>
      </c>
      <c r="G136" s="499">
        <f>SUM(G137:G140)</f>
        <v>798600</v>
      </c>
      <c r="H136" s="498">
        <f>SUM(H137:H140)</f>
        <v>0</v>
      </c>
      <c r="I136" s="499">
        <f>SUM(I137:I140)</f>
        <v>0</v>
      </c>
      <c r="J136" s="504"/>
      <c r="K136" s="804"/>
    </row>
    <row r="137" spans="1:11" s="805" customFormat="1" ht="15" customHeight="1">
      <c r="A137" s="984"/>
      <c r="B137" s="991"/>
      <c r="C137" s="994"/>
      <c r="D137" s="997"/>
      <c r="E137" s="503" t="s">
        <v>181</v>
      </c>
      <c r="F137" s="504">
        <f>G137+H137+I137</f>
        <v>0</v>
      </c>
      <c r="G137" s="505">
        <v>0</v>
      </c>
      <c r="H137" s="505"/>
      <c r="I137" s="505"/>
      <c r="J137" s="504"/>
      <c r="K137" s="804"/>
    </row>
    <row r="138" spans="1:11" s="805" customFormat="1" ht="15" customHeight="1">
      <c r="A138" s="984"/>
      <c r="B138" s="991"/>
      <c r="C138" s="994"/>
      <c r="D138" s="997"/>
      <c r="E138" s="503" t="s">
        <v>185</v>
      </c>
      <c r="F138" s="504">
        <f>G138+H138+I138+41800</f>
        <v>708400</v>
      </c>
      <c r="G138" s="505">
        <v>666600</v>
      </c>
      <c r="H138" s="505"/>
      <c r="I138" s="505"/>
      <c r="J138" s="504"/>
      <c r="K138" s="804"/>
    </row>
    <row r="139" spans="1:11" s="805" customFormat="1" ht="15" customHeight="1">
      <c r="A139" s="984"/>
      <c r="B139" s="991"/>
      <c r="C139" s="994"/>
      <c r="D139" s="997"/>
      <c r="E139" s="503" t="s">
        <v>186</v>
      </c>
      <c r="F139" s="504">
        <f>G139+H139+I139</f>
        <v>0</v>
      </c>
      <c r="G139" s="505">
        <v>0</v>
      </c>
      <c r="H139" s="505"/>
      <c r="I139" s="505"/>
      <c r="J139" s="504"/>
      <c r="K139" s="804"/>
    </row>
    <row r="140" spans="1:11" s="805" customFormat="1" ht="15" customHeight="1">
      <c r="A140" s="984"/>
      <c r="B140" s="992"/>
      <c r="C140" s="995"/>
      <c r="D140" s="998"/>
      <c r="E140" s="506" t="s">
        <v>187</v>
      </c>
      <c r="F140" s="507">
        <f>G140+H140+I140</f>
        <v>132000</v>
      </c>
      <c r="G140" s="508">
        <v>132000</v>
      </c>
      <c r="H140" s="508"/>
      <c r="I140" s="508"/>
      <c r="J140" s="504"/>
      <c r="K140" s="804"/>
    </row>
    <row r="141" spans="1:11" s="805" customFormat="1" ht="21" customHeight="1">
      <c r="A141" s="984"/>
      <c r="B141" s="990" t="s">
        <v>426</v>
      </c>
      <c r="C141" s="993" t="s">
        <v>115</v>
      </c>
      <c r="D141" s="996" t="s">
        <v>167</v>
      </c>
      <c r="E141" s="520" t="s">
        <v>180</v>
      </c>
      <c r="F141" s="498">
        <f>SUM(F142:F145)</f>
        <v>355500</v>
      </c>
      <c r="G141" s="499">
        <f>SUM(G142:G145)</f>
        <v>0</v>
      </c>
      <c r="H141" s="498">
        <f>SUM(H142:H145)</f>
        <v>250000</v>
      </c>
      <c r="I141" s="499">
        <f>SUM(I142:I145)</f>
        <v>0</v>
      </c>
      <c r="J141" s="504"/>
      <c r="K141" s="804"/>
    </row>
    <row r="142" spans="1:11" s="805" customFormat="1" ht="15" customHeight="1">
      <c r="A142" s="984"/>
      <c r="B142" s="991"/>
      <c r="C142" s="994"/>
      <c r="D142" s="997"/>
      <c r="E142" s="503" t="s">
        <v>181</v>
      </c>
      <c r="F142" s="504">
        <f>G142+H142+I142</f>
        <v>0</v>
      </c>
      <c r="G142" s="505"/>
      <c r="H142" s="505">
        <v>0</v>
      </c>
      <c r="I142" s="505"/>
      <c r="J142" s="504"/>
      <c r="K142" s="804"/>
    </row>
    <row r="143" spans="1:11" s="805" customFormat="1" ht="15" customHeight="1">
      <c r="A143" s="984"/>
      <c r="B143" s="991"/>
      <c r="C143" s="994"/>
      <c r="D143" s="997"/>
      <c r="E143" s="503" t="s">
        <v>185</v>
      </c>
      <c r="F143" s="504">
        <f>G143+H143+I143</f>
        <v>25000</v>
      </c>
      <c r="G143" s="505"/>
      <c r="H143" s="505">
        <v>25000</v>
      </c>
      <c r="I143" s="505"/>
      <c r="J143" s="504"/>
      <c r="K143" s="804"/>
    </row>
    <row r="144" spans="1:11" s="805" customFormat="1" ht="15" customHeight="1">
      <c r="A144" s="984"/>
      <c r="B144" s="991"/>
      <c r="C144" s="994"/>
      <c r="D144" s="997"/>
      <c r="E144" s="503" t="s">
        <v>186</v>
      </c>
      <c r="F144" s="504">
        <v>105500</v>
      </c>
      <c r="G144" s="505"/>
      <c r="H144" s="505">
        <v>0</v>
      </c>
      <c r="I144" s="505"/>
      <c r="J144" s="504"/>
      <c r="K144" s="804"/>
    </row>
    <row r="145" spans="1:11" s="805" customFormat="1" ht="15" customHeight="1">
      <c r="A145" s="985"/>
      <c r="B145" s="992"/>
      <c r="C145" s="995"/>
      <c r="D145" s="998"/>
      <c r="E145" s="506" t="s">
        <v>187</v>
      </c>
      <c r="F145" s="507">
        <f>G145+H145+I145</f>
        <v>225000</v>
      </c>
      <c r="G145" s="508"/>
      <c r="H145" s="508">
        <v>225000</v>
      </c>
      <c r="I145" s="508"/>
      <c r="J145" s="504"/>
      <c r="K145" s="804"/>
    </row>
    <row r="146" spans="1:11" s="496" customFormat="1" ht="9" customHeight="1">
      <c r="A146" s="871">
        <v>1</v>
      </c>
      <c r="B146" s="871">
        <v>2</v>
      </c>
      <c r="C146" s="872">
        <v>3</v>
      </c>
      <c r="D146" s="871">
        <v>4</v>
      </c>
      <c r="E146" s="982">
        <v>5</v>
      </c>
      <c r="F146" s="982"/>
      <c r="G146" s="872">
        <v>6</v>
      </c>
      <c r="H146" s="872">
        <v>7</v>
      </c>
      <c r="I146" s="872">
        <v>8</v>
      </c>
      <c r="J146" s="494">
        <v>10</v>
      </c>
      <c r="K146" s="495"/>
    </row>
    <row r="147" spans="1:11" s="502" customFormat="1" ht="21" customHeight="1">
      <c r="A147" s="983" t="s">
        <v>199</v>
      </c>
      <c r="B147" s="990" t="s">
        <v>154</v>
      </c>
      <c r="C147" s="993" t="s">
        <v>115</v>
      </c>
      <c r="D147" s="996" t="s">
        <v>167</v>
      </c>
      <c r="E147" s="520" t="s">
        <v>180</v>
      </c>
      <c r="F147" s="498">
        <f>SUM(F148:F151)</f>
        <v>640400</v>
      </c>
      <c r="G147" s="499">
        <f>SUM(G148:G151)</f>
        <v>30000</v>
      </c>
      <c r="H147" s="498">
        <f>SUM(H148:H151)</f>
        <v>610000</v>
      </c>
      <c r="I147" s="499">
        <f>SUM(I148:I151)</f>
        <v>0</v>
      </c>
      <c r="J147" s="522"/>
      <c r="K147" s="501"/>
    </row>
    <row r="148" spans="1:11" s="502" customFormat="1" ht="15.75" customHeight="1">
      <c r="A148" s="984"/>
      <c r="B148" s="991"/>
      <c r="C148" s="994"/>
      <c r="D148" s="997"/>
      <c r="E148" s="503" t="s">
        <v>181</v>
      </c>
      <c r="F148" s="504">
        <f>G148+H148+I148</f>
        <v>0</v>
      </c>
      <c r="G148" s="505">
        <v>0</v>
      </c>
      <c r="H148" s="505">
        <v>0</v>
      </c>
      <c r="I148" s="505"/>
      <c r="J148" s="500"/>
      <c r="K148" s="501"/>
    </row>
    <row r="149" spans="1:11" s="502" customFormat="1" ht="15.75" customHeight="1">
      <c r="A149" s="984"/>
      <c r="B149" s="991"/>
      <c r="C149" s="994"/>
      <c r="D149" s="997"/>
      <c r="E149" s="503" t="s">
        <v>185</v>
      </c>
      <c r="F149" s="504">
        <f>G149+H149+I149+400</f>
        <v>335400</v>
      </c>
      <c r="G149" s="505">
        <v>30000</v>
      </c>
      <c r="H149" s="505">
        <v>305000</v>
      </c>
      <c r="I149" s="505"/>
      <c r="J149" s="500"/>
      <c r="K149" s="501"/>
    </row>
    <row r="150" spans="1:11" s="502" customFormat="1" ht="15.75" customHeight="1">
      <c r="A150" s="984"/>
      <c r="B150" s="991"/>
      <c r="C150" s="994"/>
      <c r="D150" s="997"/>
      <c r="E150" s="503" t="s">
        <v>186</v>
      </c>
      <c r="F150" s="504">
        <f>G150+H150+I150</f>
        <v>0</v>
      </c>
      <c r="G150" s="505">
        <v>0</v>
      </c>
      <c r="H150" s="505">
        <v>0</v>
      </c>
      <c r="I150" s="505"/>
      <c r="J150" s="500"/>
      <c r="K150" s="501"/>
    </row>
    <row r="151" spans="1:11" s="502" customFormat="1" ht="15.75" customHeight="1">
      <c r="A151" s="984"/>
      <c r="B151" s="992"/>
      <c r="C151" s="995"/>
      <c r="D151" s="998"/>
      <c r="E151" s="506" t="s">
        <v>187</v>
      </c>
      <c r="F151" s="507">
        <f>G151+H151+I151</f>
        <v>305000</v>
      </c>
      <c r="G151" s="508">
        <v>0</v>
      </c>
      <c r="H151" s="508">
        <v>305000</v>
      </c>
      <c r="I151" s="508"/>
      <c r="J151" s="500"/>
      <c r="K151" s="501"/>
    </row>
    <row r="152" spans="1:12" s="481" customFormat="1" ht="21" customHeight="1">
      <c r="A152" s="984"/>
      <c r="B152" s="990" t="s">
        <v>729</v>
      </c>
      <c r="C152" s="993" t="s">
        <v>115</v>
      </c>
      <c r="D152" s="996">
        <v>2010</v>
      </c>
      <c r="E152" s="520" t="s">
        <v>180</v>
      </c>
      <c r="F152" s="498">
        <f>SUM(F153:F156)</f>
        <v>1000000</v>
      </c>
      <c r="G152" s="499">
        <f>SUM(G153:G156)</f>
        <v>0</v>
      </c>
      <c r="H152" s="498">
        <f>SUM(H153:H156)</f>
        <v>1000000</v>
      </c>
      <c r="I152" s="499">
        <f>SUM(I153:I156)</f>
        <v>0</v>
      </c>
      <c r="J152" s="513"/>
      <c r="K152" s="514"/>
      <c r="L152" s="515"/>
    </row>
    <row r="153" spans="1:12" s="481" customFormat="1" ht="15.75" customHeight="1">
      <c r="A153" s="984"/>
      <c r="B153" s="991"/>
      <c r="C153" s="994"/>
      <c r="D153" s="997"/>
      <c r="E153" s="503" t="s">
        <v>181</v>
      </c>
      <c r="F153" s="504">
        <f>G153+H153+I153</f>
        <v>0</v>
      </c>
      <c r="G153" s="505"/>
      <c r="H153" s="505">
        <v>0</v>
      </c>
      <c r="I153" s="505"/>
      <c r="J153" s="513"/>
      <c r="K153" s="514"/>
      <c r="L153" s="515"/>
    </row>
    <row r="154" spans="1:12" s="481" customFormat="1" ht="15.75" customHeight="1">
      <c r="A154" s="984"/>
      <c r="B154" s="991"/>
      <c r="C154" s="994"/>
      <c r="D154" s="997"/>
      <c r="E154" s="503" t="s">
        <v>185</v>
      </c>
      <c r="F154" s="504">
        <f>G154+H154+I154</f>
        <v>75000</v>
      </c>
      <c r="G154" s="505"/>
      <c r="H154" s="505">
        <v>75000</v>
      </c>
      <c r="I154" s="505"/>
      <c r="J154" s="513"/>
      <c r="K154" s="514"/>
      <c r="L154" s="515"/>
    </row>
    <row r="155" spans="1:12" s="481" customFormat="1" ht="15.75" customHeight="1">
      <c r="A155" s="984"/>
      <c r="B155" s="991"/>
      <c r="C155" s="994"/>
      <c r="D155" s="997"/>
      <c r="E155" s="503" t="s">
        <v>186</v>
      </c>
      <c r="F155" s="504">
        <f>G155+H155+I155</f>
        <v>925000</v>
      </c>
      <c r="G155" s="505"/>
      <c r="H155" s="505">
        <v>925000</v>
      </c>
      <c r="I155" s="505"/>
      <c r="J155" s="513"/>
      <c r="K155" s="514"/>
      <c r="L155" s="515"/>
    </row>
    <row r="156" spans="1:12" s="481" customFormat="1" ht="13.5" customHeight="1">
      <c r="A156" s="984"/>
      <c r="B156" s="992"/>
      <c r="C156" s="995"/>
      <c r="D156" s="998"/>
      <c r="E156" s="506" t="s">
        <v>187</v>
      </c>
      <c r="F156" s="507">
        <f>G156+H156+I156</f>
        <v>0</v>
      </c>
      <c r="G156" s="508"/>
      <c r="H156" s="508">
        <v>0</v>
      </c>
      <c r="I156" s="508"/>
      <c r="J156" s="513"/>
      <c r="K156" s="514"/>
      <c r="L156" s="515"/>
    </row>
    <row r="157" spans="1:12" s="481" customFormat="1" ht="21" customHeight="1">
      <c r="A157" s="984"/>
      <c r="B157" s="990" t="s">
        <v>427</v>
      </c>
      <c r="C157" s="993" t="s">
        <v>115</v>
      </c>
      <c r="D157" s="996" t="s">
        <v>432</v>
      </c>
      <c r="E157" s="520" t="s">
        <v>180</v>
      </c>
      <c r="F157" s="498">
        <f>SUM(F158:F161)</f>
        <v>650700</v>
      </c>
      <c r="G157" s="499">
        <f>SUM(G158:G161)</f>
        <v>0</v>
      </c>
      <c r="H157" s="498">
        <f>SUM(H158:H161)</f>
        <v>0</v>
      </c>
      <c r="I157" s="499">
        <f>SUM(I158:I161)</f>
        <v>500000</v>
      </c>
      <c r="J157" s="513"/>
      <c r="K157" s="514"/>
      <c r="L157" s="515"/>
    </row>
    <row r="158" spans="1:12" s="481" customFormat="1" ht="15.75" customHeight="1">
      <c r="A158" s="984"/>
      <c r="B158" s="991"/>
      <c r="C158" s="994"/>
      <c r="D158" s="997"/>
      <c r="E158" s="503" t="s">
        <v>181</v>
      </c>
      <c r="F158" s="504">
        <f>G158+H158+I158</f>
        <v>0</v>
      </c>
      <c r="G158" s="505"/>
      <c r="H158" s="505"/>
      <c r="I158" s="505">
        <v>0</v>
      </c>
      <c r="J158" s="513"/>
      <c r="K158" s="514"/>
      <c r="L158" s="515"/>
    </row>
    <row r="159" spans="1:12" s="481" customFormat="1" ht="15.75" customHeight="1">
      <c r="A159" s="984"/>
      <c r="B159" s="991"/>
      <c r="C159" s="994"/>
      <c r="D159" s="997"/>
      <c r="E159" s="503" t="s">
        <v>185</v>
      </c>
      <c r="F159" s="504">
        <f>G159+H159+I159+700</f>
        <v>100700</v>
      </c>
      <c r="G159" s="505"/>
      <c r="H159" s="505"/>
      <c r="I159" s="505">
        <v>100000</v>
      </c>
      <c r="J159" s="513"/>
      <c r="K159" s="514"/>
      <c r="L159" s="515"/>
    </row>
    <row r="160" spans="1:12" s="481" customFormat="1" ht="15.75" customHeight="1">
      <c r="A160" s="984"/>
      <c r="B160" s="991"/>
      <c r="C160" s="994"/>
      <c r="D160" s="997"/>
      <c r="E160" s="503" t="s">
        <v>186</v>
      </c>
      <c r="F160" s="504">
        <f>G160+H160+I160</f>
        <v>400000</v>
      </c>
      <c r="G160" s="505"/>
      <c r="H160" s="505"/>
      <c r="I160" s="505">
        <v>400000</v>
      </c>
      <c r="J160" s="513"/>
      <c r="K160" s="514"/>
      <c r="L160" s="515"/>
    </row>
    <row r="161" spans="1:12" s="481" customFormat="1" ht="15.75" customHeight="1">
      <c r="A161" s="984"/>
      <c r="B161" s="992"/>
      <c r="C161" s="995"/>
      <c r="D161" s="998"/>
      <c r="E161" s="506" t="s">
        <v>187</v>
      </c>
      <c r="F161" s="507">
        <f>G161+H161+I161+150000</f>
        <v>150000</v>
      </c>
      <c r="G161" s="508"/>
      <c r="H161" s="508"/>
      <c r="I161" s="508">
        <v>0</v>
      </c>
      <c r="J161" s="513"/>
      <c r="K161" s="514"/>
      <c r="L161" s="515"/>
    </row>
    <row r="162" spans="1:12" s="481" customFormat="1" ht="21" customHeight="1">
      <c r="A162" s="984"/>
      <c r="B162" s="1005" t="s">
        <v>428</v>
      </c>
      <c r="C162" s="1006" t="s">
        <v>115</v>
      </c>
      <c r="D162" s="1018">
        <v>2011</v>
      </c>
      <c r="E162" s="520" t="s">
        <v>180</v>
      </c>
      <c r="F162" s="498">
        <f>SUM(F163:F166)</f>
        <v>200000</v>
      </c>
      <c r="G162" s="499">
        <f>SUM(G163:G166)</f>
        <v>0</v>
      </c>
      <c r="H162" s="499">
        <f>SUM(H163:H166)</f>
        <v>0</v>
      </c>
      <c r="I162" s="499">
        <f>SUM(I163:I166)</f>
        <v>200000</v>
      </c>
      <c r="J162" s="513"/>
      <c r="K162" s="514"/>
      <c r="L162" s="515"/>
    </row>
    <row r="163" spans="1:12" s="481" customFormat="1" ht="15" customHeight="1">
      <c r="A163" s="984"/>
      <c r="B163" s="1005"/>
      <c r="C163" s="1006"/>
      <c r="D163" s="986"/>
      <c r="E163" s="509" t="s">
        <v>181</v>
      </c>
      <c r="F163" s="504">
        <f>G163+H163+I163</f>
        <v>0</v>
      </c>
      <c r="G163" s="505"/>
      <c r="H163" s="505"/>
      <c r="I163" s="505">
        <v>0</v>
      </c>
      <c r="J163" s="513"/>
      <c r="K163" s="514"/>
      <c r="L163" s="515"/>
    </row>
    <row r="164" spans="1:12" s="481" customFormat="1" ht="15" customHeight="1">
      <c r="A164" s="984"/>
      <c r="B164" s="1005"/>
      <c r="C164" s="1006"/>
      <c r="D164" s="986"/>
      <c r="E164" s="509" t="s">
        <v>185</v>
      </c>
      <c r="F164" s="504">
        <f>G164+H164+I164</f>
        <v>10000</v>
      </c>
      <c r="G164" s="505"/>
      <c r="H164" s="505"/>
      <c r="I164" s="505">
        <v>10000</v>
      </c>
      <c r="J164" s="513"/>
      <c r="K164" s="514"/>
      <c r="L164" s="515"/>
    </row>
    <row r="165" spans="1:12" s="481" customFormat="1" ht="15" customHeight="1">
      <c r="A165" s="984"/>
      <c r="B165" s="1005"/>
      <c r="C165" s="1006"/>
      <c r="D165" s="986"/>
      <c r="E165" s="509" t="s">
        <v>186</v>
      </c>
      <c r="F165" s="504">
        <f>G165+H165+I165</f>
        <v>190000</v>
      </c>
      <c r="G165" s="505"/>
      <c r="H165" s="505"/>
      <c r="I165" s="505">
        <v>190000</v>
      </c>
      <c r="J165" s="513"/>
      <c r="K165" s="514"/>
      <c r="L165" s="515"/>
    </row>
    <row r="166" spans="1:12" s="481" customFormat="1" ht="12" customHeight="1">
      <c r="A166" s="984"/>
      <c r="B166" s="1005"/>
      <c r="C166" s="1006"/>
      <c r="D166" s="986"/>
      <c r="E166" s="510" t="s">
        <v>187</v>
      </c>
      <c r="F166" s="507">
        <f>G166+H166+I166</f>
        <v>0</v>
      </c>
      <c r="G166" s="508"/>
      <c r="H166" s="508"/>
      <c r="I166" s="508">
        <v>0</v>
      </c>
      <c r="J166" s="513"/>
      <c r="K166" s="514"/>
      <c r="L166" s="515"/>
    </row>
    <row r="167" spans="1:12" s="481" customFormat="1" ht="21" customHeight="1">
      <c r="A167" s="984"/>
      <c r="B167" s="1005" t="s">
        <v>429</v>
      </c>
      <c r="C167" s="1006" t="s">
        <v>115</v>
      </c>
      <c r="D167" s="986">
        <v>2011</v>
      </c>
      <c r="E167" s="520" t="s">
        <v>180</v>
      </c>
      <c r="F167" s="500">
        <f>SUM(F168:F171)</f>
        <v>120000</v>
      </c>
      <c r="G167" s="499">
        <f>SUM(G168:G171)</f>
        <v>0</v>
      </c>
      <c r="H167" s="499">
        <f>SUM(H168:H171)</f>
        <v>0</v>
      </c>
      <c r="I167" s="499">
        <f>SUM(I168:I171)</f>
        <v>120000</v>
      </c>
      <c r="J167" s="513"/>
      <c r="K167" s="514"/>
      <c r="L167" s="515"/>
    </row>
    <row r="168" spans="1:12" s="481" customFormat="1" ht="15" customHeight="1">
      <c r="A168" s="984"/>
      <c r="B168" s="1005"/>
      <c r="C168" s="1006"/>
      <c r="D168" s="986"/>
      <c r="E168" s="509" t="s">
        <v>181</v>
      </c>
      <c r="F168" s="504">
        <f>G168+H168+I168</f>
        <v>0</v>
      </c>
      <c r="G168" s="526"/>
      <c r="H168" s="504"/>
      <c r="I168" s="526">
        <v>0</v>
      </c>
      <c r="J168" s="513"/>
      <c r="K168" s="514"/>
      <c r="L168" s="515"/>
    </row>
    <row r="169" spans="1:12" s="481" customFormat="1" ht="15" customHeight="1">
      <c r="A169" s="984"/>
      <c r="B169" s="1005"/>
      <c r="C169" s="1006"/>
      <c r="D169" s="986"/>
      <c r="E169" s="509" t="s">
        <v>185</v>
      </c>
      <c r="F169" s="504">
        <f>G169+H169+I169</f>
        <v>6000</v>
      </c>
      <c r="G169" s="505"/>
      <c r="H169" s="504"/>
      <c r="I169" s="505">
        <v>6000</v>
      </c>
      <c r="J169" s="513"/>
      <c r="K169" s="514"/>
      <c r="L169" s="515"/>
    </row>
    <row r="170" spans="1:12" s="481" customFormat="1" ht="15" customHeight="1">
      <c r="A170" s="984"/>
      <c r="B170" s="1005"/>
      <c r="C170" s="1006"/>
      <c r="D170" s="986"/>
      <c r="E170" s="509" t="s">
        <v>186</v>
      </c>
      <c r="F170" s="504">
        <f>G170+H170+I170</f>
        <v>114000</v>
      </c>
      <c r="G170" s="505"/>
      <c r="H170" s="504"/>
      <c r="I170" s="505">
        <v>114000</v>
      </c>
      <c r="J170" s="513"/>
      <c r="K170" s="514"/>
      <c r="L170" s="515"/>
    </row>
    <row r="171" spans="1:12" s="481" customFormat="1" ht="12" customHeight="1">
      <c r="A171" s="984"/>
      <c r="B171" s="1005"/>
      <c r="C171" s="1006"/>
      <c r="D171" s="986"/>
      <c r="E171" s="510" t="s">
        <v>187</v>
      </c>
      <c r="F171" s="507">
        <f>G171+H171+I171</f>
        <v>0</v>
      </c>
      <c r="G171" s="508"/>
      <c r="H171" s="507"/>
      <c r="I171" s="508">
        <v>0</v>
      </c>
      <c r="J171" s="513"/>
      <c r="K171" s="514"/>
      <c r="L171" s="515"/>
    </row>
    <row r="172" spans="1:12" s="481" customFormat="1" ht="21" customHeight="1">
      <c r="A172" s="984"/>
      <c r="B172" s="1005" t="s">
        <v>430</v>
      </c>
      <c r="C172" s="1006" t="s">
        <v>115</v>
      </c>
      <c r="D172" s="986">
        <v>2011</v>
      </c>
      <c r="E172" s="520" t="s">
        <v>180</v>
      </c>
      <c r="F172" s="500">
        <f>SUM(F173:F176)</f>
        <v>150000</v>
      </c>
      <c r="G172" s="499">
        <f>SUM(G173:G176)</f>
        <v>0</v>
      </c>
      <c r="H172" s="499">
        <f>SUM(H173:H176)</f>
        <v>0</v>
      </c>
      <c r="I172" s="499">
        <f>SUM(I173:I176)</f>
        <v>150000</v>
      </c>
      <c r="J172" s="513"/>
      <c r="K172" s="514"/>
      <c r="L172" s="515"/>
    </row>
    <row r="173" spans="1:12" s="481" customFormat="1" ht="15" customHeight="1">
      <c r="A173" s="984"/>
      <c r="B173" s="1005"/>
      <c r="C173" s="1006"/>
      <c r="D173" s="986"/>
      <c r="E173" s="509" t="s">
        <v>181</v>
      </c>
      <c r="F173" s="504">
        <f>G173+H173+I173</f>
        <v>0</v>
      </c>
      <c r="G173" s="526"/>
      <c r="H173" s="504"/>
      <c r="I173" s="526">
        <v>0</v>
      </c>
      <c r="J173" s="513"/>
      <c r="K173" s="514"/>
      <c r="L173" s="515"/>
    </row>
    <row r="174" spans="1:12" s="481" customFormat="1" ht="15" customHeight="1">
      <c r="A174" s="984"/>
      <c r="B174" s="1005"/>
      <c r="C174" s="1006"/>
      <c r="D174" s="986"/>
      <c r="E174" s="509" t="s">
        <v>185</v>
      </c>
      <c r="F174" s="504">
        <f>G174+H174+I174</f>
        <v>8000</v>
      </c>
      <c r="G174" s="505"/>
      <c r="H174" s="504"/>
      <c r="I174" s="505">
        <v>8000</v>
      </c>
      <c r="J174" s="513"/>
      <c r="K174" s="514"/>
      <c r="L174" s="515"/>
    </row>
    <row r="175" spans="1:12" s="481" customFormat="1" ht="15" customHeight="1">
      <c r="A175" s="984"/>
      <c r="B175" s="1005"/>
      <c r="C175" s="1006"/>
      <c r="D175" s="986"/>
      <c r="E175" s="509" t="s">
        <v>186</v>
      </c>
      <c r="F175" s="504">
        <f>G175+H175+I175</f>
        <v>142000</v>
      </c>
      <c r="G175" s="505"/>
      <c r="H175" s="504"/>
      <c r="I175" s="505">
        <v>142000</v>
      </c>
      <c r="J175" s="513"/>
      <c r="K175" s="514"/>
      <c r="L175" s="515"/>
    </row>
    <row r="176" spans="1:12" s="481" customFormat="1" ht="12" customHeight="1">
      <c r="A176" s="984"/>
      <c r="B176" s="1005"/>
      <c r="C176" s="1006"/>
      <c r="D176" s="986"/>
      <c r="E176" s="510" t="s">
        <v>187</v>
      </c>
      <c r="F176" s="507">
        <f>G176+H176+I176</f>
        <v>0</v>
      </c>
      <c r="G176" s="508"/>
      <c r="H176" s="507"/>
      <c r="I176" s="508">
        <v>0</v>
      </c>
      <c r="J176" s="513"/>
      <c r="K176" s="514"/>
      <c r="L176" s="515"/>
    </row>
    <row r="177" spans="1:11" s="502" customFormat="1" ht="21" customHeight="1">
      <c r="A177" s="984"/>
      <c r="B177" s="1005" t="s">
        <v>666</v>
      </c>
      <c r="C177" s="1006" t="s">
        <v>115</v>
      </c>
      <c r="D177" s="986" t="s">
        <v>118</v>
      </c>
      <c r="E177" s="520" t="s">
        <v>180</v>
      </c>
      <c r="F177" s="500">
        <f>SUM(F178:F181)</f>
        <v>1311900</v>
      </c>
      <c r="G177" s="499">
        <f>SUM(G178:G181)</f>
        <v>224200</v>
      </c>
      <c r="H177" s="499">
        <f>SUM(H178:H181)</f>
        <v>0</v>
      </c>
      <c r="I177" s="499">
        <f>SUM(I178:I181)</f>
        <v>0</v>
      </c>
      <c r="J177" s="500"/>
      <c r="K177" s="501"/>
    </row>
    <row r="178" spans="1:11" s="502" customFormat="1" ht="15" customHeight="1">
      <c r="A178" s="984"/>
      <c r="B178" s="1005"/>
      <c r="C178" s="1006"/>
      <c r="D178" s="986"/>
      <c r="E178" s="509" t="s">
        <v>181</v>
      </c>
      <c r="F178" s="504">
        <f>G178+H178+I178</f>
        <v>0</v>
      </c>
      <c r="G178" s="526">
        <v>0</v>
      </c>
      <c r="H178" s="526"/>
      <c r="I178" s="526"/>
      <c r="J178" s="504">
        <v>0</v>
      </c>
      <c r="K178" s="501"/>
    </row>
    <row r="179" spans="1:11" s="502" customFormat="1" ht="15" customHeight="1">
      <c r="A179" s="984"/>
      <c r="B179" s="1005"/>
      <c r="C179" s="1006"/>
      <c r="D179" s="986"/>
      <c r="E179" s="509" t="s">
        <v>185</v>
      </c>
      <c r="F179" s="504">
        <f>G179+H179+I179+67300</f>
        <v>78600</v>
      </c>
      <c r="G179" s="505">
        <v>11300</v>
      </c>
      <c r="H179" s="505"/>
      <c r="I179" s="505"/>
      <c r="J179" s="504">
        <v>7000</v>
      </c>
      <c r="K179" s="501"/>
    </row>
    <row r="180" spans="1:11" s="502" customFormat="1" ht="15" customHeight="1">
      <c r="A180" s="984"/>
      <c r="B180" s="1005"/>
      <c r="C180" s="1006"/>
      <c r="D180" s="986"/>
      <c r="E180" s="509" t="s">
        <v>186</v>
      </c>
      <c r="F180" s="504">
        <f>G180+H180+I180</f>
        <v>0</v>
      </c>
      <c r="G180" s="505">
        <v>0</v>
      </c>
      <c r="H180" s="505"/>
      <c r="I180" s="505"/>
      <c r="J180" s="504">
        <v>0</v>
      </c>
      <c r="K180" s="501"/>
    </row>
    <row r="181" spans="1:11" s="502" customFormat="1" ht="15" customHeight="1">
      <c r="A181" s="985"/>
      <c r="B181" s="1005"/>
      <c r="C181" s="1006"/>
      <c r="D181" s="986"/>
      <c r="E181" s="510" t="s">
        <v>187</v>
      </c>
      <c r="F181" s="507">
        <f>G181+H181+I181+1020400</f>
        <v>1233300</v>
      </c>
      <c r="G181" s="508">
        <v>212900</v>
      </c>
      <c r="H181" s="508"/>
      <c r="I181" s="508"/>
      <c r="J181" s="507">
        <v>143000</v>
      </c>
      <c r="K181" s="501"/>
    </row>
    <row r="182" spans="1:11" s="496" customFormat="1" ht="9" customHeight="1">
      <c r="A182" s="871">
        <v>1</v>
      </c>
      <c r="B182" s="871">
        <v>2</v>
      </c>
      <c r="C182" s="872">
        <v>3</v>
      </c>
      <c r="D182" s="871">
        <v>4</v>
      </c>
      <c r="E182" s="982">
        <v>5</v>
      </c>
      <c r="F182" s="982"/>
      <c r="G182" s="872">
        <v>6</v>
      </c>
      <c r="H182" s="872">
        <v>7</v>
      </c>
      <c r="I182" s="872">
        <v>8</v>
      </c>
      <c r="J182" s="494">
        <v>10</v>
      </c>
      <c r="K182" s="495"/>
    </row>
    <row r="183" spans="1:11" s="502" customFormat="1" ht="21" customHeight="1">
      <c r="A183" s="983" t="s">
        <v>199</v>
      </c>
      <c r="B183" s="1005" t="s">
        <v>200</v>
      </c>
      <c r="C183" s="1006" t="s">
        <v>115</v>
      </c>
      <c r="D183" s="1007" t="s">
        <v>433</v>
      </c>
      <c r="E183" s="520" t="s">
        <v>180</v>
      </c>
      <c r="F183" s="500">
        <f>SUM(F184:F187)</f>
        <v>10000000</v>
      </c>
      <c r="G183" s="499">
        <f>SUM(G184:G187)</f>
        <v>0</v>
      </c>
      <c r="H183" s="499">
        <f>SUM(H184:H187)</f>
        <v>2000000</v>
      </c>
      <c r="I183" s="499">
        <f>SUM(I184:I187)</f>
        <v>2000000</v>
      </c>
      <c r="J183" s="504"/>
      <c r="K183" s="501"/>
    </row>
    <row r="184" spans="1:11" s="502" customFormat="1" ht="15" customHeight="1">
      <c r="A184" s="984"/>
      <c r="B184" s="1005"/>
      <c r="C184" s="1006"/>
      <c r="D184" s="1007"/>
      <c r="E184" s="509" t="s">
        <v>181</v>
      </c>
      <c r="F184" s="504">
        <f>G184+H184+I184</f>
        <v>0</v>
      </c>
      <c r="G184" s="526"/>
      <c r="H184" s="504">
        <v>0</v>
      </c>
      <c r="I184" s="526">
        <v>0</v>
      </c>
      <c r="J184" s="504"/>
      <c r="K184" s="501"/>
    </row>
    <row r="185" spans="1:11" s="502" customFormat="1" ht="15" customHeight="1">
      <c r="A185" s="984"/>
      <c r="B185" s="1005"/>
      <c r="C185" s="1006"/>
      <c r="D185" s="1007"/>
      <c r="E185" s="509" t="s">
        <v>185</v>
      </c>
      <c r="F185" s="504">
        <f>G185+H185+I185+300000</f>
        <v>500000</v>
      </c>
      <c r="G185" s="505"/>
      <c r="H185" s="504">
        <v>100000</v>
      </c>
      <c r="I185" s="505">
        <f>H185</f>
        <v>100000</v>
      </c>
      <c r="J185" s="504"/>
      <c r="K185" s="501"/>
    </row>
    <row r="186" spans="1:11" s="502" customFormat="1" ht="15" customHeight="1">
      <c r="A186" s="984"/>
      <c r="B186" s="1005"/>
      <c r="C186" s="1006"/>
      <c r="D186" s="1007"/>
      <c r="E186" s="509" t="s">
        <v>186</v>
      </c>
      <c r="F186" s="504">
        <f>G186+H186+I186+5700000</f>
        <v>9500000</v>
      </c>
      <c r="G186" s="505"/>
      <c r="H186" s="504">
        <v>1900000</v>
      </c>
      <c r="I186" s="505">
        <f>H186</f>
        <v>1900000</v>
      </c>
      <c r="J186" s="504"/>
      <c r="K186" s="501"/>
    </row>
    <row r="187" spans="1:11" s="502" customFormat="1" ht="15" customHeight="1">
      <c r="A187" s="984"/>
      <c r="B187" s="1005"/>
      <c r="C187" s="1006"/>
      <c r="D187" s="1007"/>
      <c r="E187" s="510" t="s">
        <v>187</v>
      </c>
      <c r="F187" s="507">
        <f>G187+H187+I187</f>
        <v>0</v>
      </c>
      <c r="G187" s="508"/>
      <c r="H187" s="507">
        <v>0</v>
      </c>
      <c r="I187" s="508">
        <v>0</v>
      </c>
      <c r="J187" s="504"/>
      <c r="K187" s="501"/>
    </row>
    <row r="188" spans="1:11" s="502" customFormat="1" ht="21" customHeight="1">
      <c r="A188" s="984"/>
      <c r="B188" s="1005" t="s">
        <v>202</v>
      </c>
      <c r="C188" s="1006" t="s">
        <v>115</v>
      </c>
      <c r="D188" s="986" t="s">
        <v>203</v>
      </c>
      <c r="E188" s="520" t="s">
        <v>180</v>
      </c>
      <c r="F188" s="500">
        <f>SUM(F189:F192)</f>
        <v>1000000</v>
      </c>
      <c r="G188" s="499">
        <f>SUM(G189:G192)</f>
        <v>0</v>
      </c>
      <c r="H188" s="499">
        <f>SUM(H189:H192)</f>
        <v>500000</v>
      </c>
      <c r="I188" s="499">
        <f>SUM(I189:I192)</f>
        <v>500000</v>
      </c>
      <c r="J188" s="522"/>
      <c r="K188" s="501"/>
    </row>
    <row r="189" spans="1:11" s="502" customFormat="1" ht="15" customHeight="1">
      <c r="A189" s="984"/>
      <c r="B189" s="1005"/>
      <c r="C189" s="1006"/>
      <c r="D189" s="986"/>
      <c r="E189" s="509" t="s">
        <v>181</v>
      </c>
      <c r="F189" s="504">
        <f>G189+H189+I189</f>
        <v>0</v>
      </c>
      <c r="G189" s="526"/>
      <c r="H189" s="504">
        <v>0</v>
      </c>
      <c r="I189" s="526">
        <v>0</v>
      </c>
      <c r="J189" s="500"/>
      <c r="K189" s="501"/>
    </row>
    <row r="190" spans="1:11" s="502" customFormat="1" ht="15" customHeight="1">
      <c r="A190" s="984"/>
      <c r="B190" s="1005"/>
      <c r="C190" s="1006"/>
      <c r="D190" s="986"/>
      <c r="E190" s="509" t="s">
        <v>185</v>
      </c>
      <c r="F190" s="504">
        <f>G190+H190+I190</f>
        <v>50000</v>
      </c>
      <c r="G190" s="505"/>
      <c r="H190" s="504">
        <v>25000</v>
      </c>
      <c r="I190" s="505">
        <v>25000</v>
      </c>
      <c r="J190" s="500"/>
      <c r="K190" s="501"/>
    </row>
    <row r="191" spans="1:11" s="502" customFormat="1" ht="15" customHeight="1">
      <c r="A191" s="984"/>
      <c r="B191" s="1005"/>
      <c r="C191" s="1006"/>
      <c r="D191" s="986"/>
      <c r="E191" s="509" t="s">
        <v>186</v>
      </c>
      <c r="F191" s="504">
        <f>G191+H191+I191</f>
        <v>950000</v>
      </c>
      <c r="G191" s="505"/>
      <c r="H191" s="504">
        <v>475000</v>
      </c>
      <c r="I191" s="505">
        <v>475000</v>
      </c>
      <c r="J191" s="500"/>
      <c r="K191" s="501"/>
    </row>
    <row r="192" spans="1:11" s="502" customFormat="1" ht="15" customHeight="1">
      <c r="A192" s="985"/>
      <c r="B192" s="1005"/>
      <c r="C192" s="1006"/>
      <c r="D192" s="986"/>
      <c r="E192" s="510" t="s">
        <v>187</v>
      </c>
      <c r="F192" s="507">
        <f>G192+H192+I192</f>
        <v>0</v>
      </c>
      <c r="G192" s="508"/>
      <c r="H192" s="507">
        <v>0</v>
      </c>
      <c r="I192" s="508">
        <v>0</v>
      </c>
      <c r="J192" s="512"/>
      <c r="K192" s="501"/>
    </row>
    <row r="193" spans="1:11" s="502" customFormat="1" ht="21" customHeight="1">
      <c r="A193" s="983" t="s">
        <v>204</v>
      </c>
      <c r="B193" s="990" t="s">
        <v>730</v>
      </c>
      <c r="C193" s="999" t="s">
        <v>115</v>
      </c>
      <c r="D193" s="1002" t="s">
        <v>118</v>
      </c>
      <c r="E193" s="520" t="s">
        <v>180</v>
      </c>
      <c r="F193" s="500">
        <f>SUM(F194:F197)</f>
        <v>113300</v>
      </c>
      <c r="G193" s="500">
        <f>SUM(G194:G197)</f>
        <v>6000</v>
      </c>
      <c r="H193" s="498">
        <f>SUM(H194:H197)</f>
        <v>0</v>
      </c>
      <c r="I193" s="499">
        <f>SUM(I194:I197)</f>
        <v>0</v>
      </c>
      <c r="J193" s="529"/>
      <c r="K193" s="501"/>
    </row>
    <row r="194" spans="1:11" s="502" customFormat="1" ht="15" customHeight="1">
      <c r="A194" s="984"/>
      <c r="B194" s="991"/>
      <c r="C194" s="1000"/>
      <c r="D194" s="1016"/>
      <c r="E194" s="527" t="s">
        <v>181</v>
      </c>
      <c r="F194" s="512">
        <f>G194+H194+I194</f>
        <v>0</v>
      </c>
      <c r="G194" s="529">
        <v>0</v>
      </c>
      <c r="H194" s="504"/>
      <c r="I194" s="526"/>
      <c r="J194" s="529"/>
      <c r="K194" s="501"/>
    </row>
    <row r="195" spans="1:11" s="502" customFormat="1" ht="15" customHeight="1">
      <c r="A195" s="984"/>
      <c r="B195" s="991"/>
      <c r="C195" s="1000"/>
      <c r="D195" s="1016"/>
      <c r="E195" s="509" t="s">
        <v>185</v>
      </c>
      <c r="F195" s="529">
        <f>G195+H195+I195+600</f>
        <v>6600</v>
      </c>
      <c r="G195" s="529">
        <v>6000</v>
      </c>
      <c r="H195" s="504"/>
      <c r="I195" s="505"/>
      <c r="J195" s="529"/>
      <c r="K195" s="501"/>
    </row>
    <row r="196" spans="1:11" s="502" customFormat="1" ht="15" customHeight="1">
      <c r="A196" s="984"/>
      <c r="B196" s="991"/>
      <c r="C196" s="1000"/>
      <c r="D196" s="1016"/>
      <c r="E196" s="509" t="s">
        <v>186</v>
      </c>
      <c r="F196" s="529">
        <f>G196+H196+I196+80300</f>
        <v>80300</v>
      </c>
      <c r="G196" s="529">
        <v>0</v>
      </c>
      <c r="H196" s="504"/>
      <c r="I196" s="505"/>
      <c r="J196" s="529"/>
      <c r="K196" s="501"/>
    </row>
    <row r="197" spans="1:11" s="502" customFormat="1" ht="15" customHeight="1">
      <c r="A197" s="984"/>
      <c r="B197" s="992"/>
      <c r="C197" s="1001"/>
      <c r="D197" s="1017"/>
      <c r="E197" s="510" t="s">
        <v>187</v>
      </c>
      <c r="F197" s="522">
        <f>G197+H197+I197+26400</f>
        <v>26400</v>
      </c>
      <c r="G197" s="522">
        <v>0</v>
      </c>
      <c r="H197" s="507"/>
      <c r="I197" s="508"/>
      <c r="J197" s="529"/>
      <c r="K197" s="501"/>
    </row>
    <row r="198" spans="1:11" s="502" customFormat="1" ht="21" customHeight="1" thickBot="1">
      <c r="A198" s="984"/>
      <c r="B198" s="990" t="s">
        <v>168</v>
      </c>
      <c r="C198" s="999" t="s">
        <v>115</v>
      </c>
      <c r="D198" s="1002" t="s">
        <v>432</v>
      </c>
      <c r="E198" s="520" t="s">
        <v>180</v>
      </c>
      <c r="F198" s="500">
        <f>SUM(F199:F202)</f>
        <v>901000</v>
      </c>
      <c r="G198" s="500">
        <f>SUM(G199:G202)</f>
        <v>148500</v>
      </c>
      <c r="H198" s="498">
        <f>SUM(H199:H202)</f>
        <v>600000</v>
      </c>
      <c r="I198" s="499">
        <f>SUM(I199:I202)</f>
        <v>0</v>
      </c>
      <c r="J198" s="528">
        <v>26400</v>
      </c>
      <c r="K198" s="501"/>
    </row>
    <row r="199" spans="1:11" s="502" customFormat="1" ht="15" customHeight="1">
      <c r="A199" s="984"/>
      <c r="B199" s="991"/>
      <c r="C199" s="1000"/>
      <c r="D199" s="1016"/>
      <c r="E199" s="527" t="s">
        <v>181</v>
      </c>
      <c r="F199" s="512">
        <f>G199+H199+I199</f>
        <v>600000</v>
      </c>
      <c r="G199" s="529">
        <v>0</v>
      </c>
      <c r="H199" s="504">
        <v>600000</v>
      </c>
      <c r="I199" s="526"/>
      <c r="J199" s="500"/>
      <c r="K199" s="501"/>
    </row>
    <row r="200" spans="1:11" s="502" customFormat="1" ht="15" customHeight="1">
      <c r="A200" s="984"/>
      <c r="B200" s="991"/>
      <c r="C200" s="1000"/>
      <c r="D200" s="1016"/>
      <c r="E200" s="509" t="s">
        <v>185</v>
      </c>
      <c r="F200" s="529">
        <f>G200+H200+I200+2500</f>
        <v>2500</v>
      </c>
      <c r="G200" s="529">
        <v>0</v>
      </c>
      <c r="H200" s="504">
        <v>0</v>
      </c>
      <c r="I200" s="505"/>
      <c r="J200" s="500"/>
      <c r="K200" s="501"/>
    </row>
    <row r="201" spans="1:11" s="502" customFormat="1" ht="15" customHeight="1">
      <c r="A201" s="984"/>
      <c r="B201" s="991"/>
      <c r="C201" s="1000"/>
      <c r="D201" s="1016"/>
      <c r="E201" s="509" t="s">
        <v>186</v>
      </c>
      <c r="F201" s="529">
        <f>G201+H201+I201+150000</f>
        <v>298500</v>
      </c>
      <c r="G201" s="529">
        <v>148500</v>
      </c>
      <c r="H201" s="504">
        <v>0</v>
      </c>
      <c r="I201" s="505"/>
      <c r="J201" s="500"/>
      <c r="K201" s="501"/>
    </row>
    <row r="202" spans="1:11" s="502" customFormat="1" ht="15" customHeight="1" thickBot="1">
      <c r="A202" s="985"/>
      <c r="B202" s="992"/>
      <c r="C202" s="1001"/>
      <c r="D202" s="1017"/>
      <c r="E202" s="510" t="s">
        <v>187</v>
      </c>
      <c r="F202" s="522">
        <f>G202+H202+I202</f>
        <v>0</v>
      </c>
      <c r="G202" s="522">
        <v>0</v>
      </c>
      <c r="H202" s="507">
        <v>0</v>
      </c>
      <c r="I202" s="508"/>
      <c r="J202" s="512"/>
      <c r="K202" s="501"/>
    </row>
    <row r="203" spans="1:11" s="502" customFormat="1" ht="15" customHeight="1" hidden="1">
      <c r="A203" s="516"/>
      <c r="B203" s="806"/>
      <c r="C203" s="807"/>
      <c r="D203" s="808"/>
      <c r="E203" s="809"/>
      <c r="F203" s="810"/>
      <c r="G203" s="810"/>
      <c r="H203" s="810"/>
      <c r="I203" s="810"/>
      <c r="J203" s="529"/>
      <c r="K203" s="501"/>
    </row>
    <row r="204" spans="1:11" s="502" customFormat="1" ht="15" customHeight="1" hidden="1">
      <c r="A204" s="516"/>
      <c r="B204" s="806"/>
      <c r="C204" s="807"/>
      <c r="D204" s="808"/>
      <c r="E204" s="809"/>
      <c r="F204" s="810"/>
      <c r="G204" s="504">
        <f aca="true" t="shared" si="0" ref="G204:I207">G10+G15+G20+G25+G30+G40+G45+G50+G55+G60+G65+G76+G70+G81+G86+G91+G96+G101+G106+G112+G117+G122+G127+G132+G137+G142+G148+G153+G158+G163</f>
        <v>767100</v>
      </c>
      <c r="H204" s="504">
        <f t="shared" si="0"/>
        <v>7445900</v>
      </c>
      <c r="I204" s="504">
        <f t="shared" si="0"/>
        <v>5847500</v>
      </c>
      <c r="J204" s="529"/>
      <c r="K204" s="501"/>
    </row>
    <row r="205" spans="1:11" s="502" customFormat="1" ht="15" customHeight="1" hidden="1">
      <c r="A205" s="516"/>
      <c r="B205" s="806"/>
      <c r="C205" s="807"/>
      <c r="D205" s="808"/>
      <c r="E205" s="809"/>
      <c r="F205" s="810"/>
      <c r="G205" s="504">
        <f t="shared" si="0"/>
        <v>2373200</v>
      </c>
      <c r="H205" s="504">
        <f t="shared" si="0"/>
        <v>2932500</v>
      </c>
      <c r="I205" s="504">
        <f t="shared" si="0"/>
        <v>2660000</v>
      </c>
      <c r="J205" s="529"/>
      <c r="K205" s="501"/>
    </row>
    <row r="206" spans="1:11" s="502" customFormat="1" ht="15" customHeight="1" hidden="1">
      <c r="A206" s="516"/>
      <c r="B206" s="806"/>
      <c r="C206" s="807"/>
      <c r="D206" s="808"/>
      <c r="E206" s="809"/>
      <c r="F206" s="810"/>
      <c r="G206" s="504">
        <f t="shared" si="0"/>
        <v>1599400</v>
      </c>
      <c r="H206" s="504">
        <f t="shared" si="0"/>
        <v>3636300</v>
      </c>
      <c r="I206" s="504">
        <f t="shared" si="0"/>
        <v>1378000</v>
      </c>
      <c r="J206" s="529"/>
      <c r="K206" s="501"/>
    </row>
    <row r="207" spans="1:11" s="502" customFormat="1" ht="15" customHeight="1" hidden="1" thickBot="1">
      <c r="A207" s="516"/>
      <c r="B207" s="806"/>
      <c r="C207" s="807"/>
      <c r="D207" s="808"/>
      <c r="E207" s="809"/>
      <c r="F207" s="810"/>
      <c r="G207" s="504">
        <f t="shared" si="0"/>
        <v>161000</v>
      </c>
      <c r="H207" s="504">
        <f t="shared" si="0"/>
        <v>2181600</v>
      </c>
      <c r="I207" s="504">
        <f t="shared" si="0"/>
        <v>1238500</v>
      </c>
      <c r="J207" s="529"/>
      <c r="K207" s="501"/>
    </row>
    <row r="208" spans="1:11" s="502" customFormat="1" ht="20.25" customHeight="1" thickBot="1">
      <c r="A208" s="811"/>
      <c r="B208" s="1008" t="s">
        <v>92</v>
      </c>
      <c r="C208" s="1009"/>
      <c r="D208" s="1010"/>
      <c r="E208" s="530" t="s">
        <v>180</v>
      </c>
      <c r="F208" s="531">
        <f>SUM(F209:F212)</f>
        <v>38469700</v>
      </c>
      <c r="G208" s="532">
        <f>SUM(G209:G212)</f>
        <v>5279400</v>
      </c>
      <c r="H208" s="533">
        <f>SUM(H209:H212)</f>
        <v>19296300</v>
      </c>
      <c r="I208" s="534">
        <f>SUM(I209:I212)</f>
        <v>13894000</v>
      </c>
      <c r="J208" s="528">
        <v>26400</v>
      </c>
      <c r="K208" s="501"/>
    </row>
    <row r="209" spans="1:11" s="502" customFormat="1" ht="21" customHeight="1">
      <c r="A209" s="812"/>
      <c r="B209" s="1011"/>
      <c r="C209" s="1012"/>
      <c r="D209" s="1012"/>
      <c r="E209" s="527" t="s">
        <v>181</v>
      </c>
      <c r="F209" s="512">
        <f>G209+H209+I209</f>
        <v>14660500</v>
      </c>
      <c r="G209" s="500">
        <f aca="true" t="shared" si="1" ref="G209:I212">G204+G168+G173+G178+G184+G189+G194+G199</f>
        <v>767100</v>
      </c>
      <c r="H209" s="500">
        <f t="shared" si="1"/>
        <v>8045900</v>
      </c>
      <c r="I209" s="813">
        <f t="shared" si="1"/>
        <v>5847500</v>
      </c>
      <c r="J209" s="500"/>
      <c r="K209" s="501"/>
    </row>
    <row r="210" spans="1:11" s="502" customFormat="1" ht="21" customHeight="1">
      <c r="A210" s="812"/>
      <c r="B210" s="1011"/>
      <c r="C210" s="1012"/>
      <c r="D210" s="1012"/>
      <c r="E210" s="497" t="s">
        <v>185</v>
      </c>
      <c r="F210" s="512">
        <f>G210+H210+I210</f>
        <v>8247000</v>
      </c>
      <c r="G210" s="500">
        <f t="shared" si="1"/>
        <v>2390500</v>
      </c>
      <c r="H210" s="500">
        <f t="shared" si="1"/>
        <v>3057500</v>
      </c>
      <c r="I210" s="813">
        <f t="shared" si="1"/>
        <v>2799000</v>
      </c>
      <c r="J210" s="500"/>
      <c r="K210" s="501"/>
    </row>
    <row r="211" spans="1:11" s="502" customFormat="1" ht="21" customHeight="1">
      <c r="A211" s="812"/>
      <c r="B211" s="1011"/>
      <c r="C211" s="1012"/>
      <c r="D211" s="1012"/>
      <c r="E211" s="497" t="s">
        <v>186</v>
      </c>
      <c r="F211" s="500">
        <f>G211+H211+I211</f>
        <v>11768200</v>
      </c>
      <c r="G211" s="500">
        <f t="shared" si="1"/>
        <v>1747900</v>
      </c>
      <c r="H211" s="500">
        <f t="shared" si="1"/>
        <v>6011300</v>
      </c>
      <c r="I211" s="813">
        <f t="shared" si="1"/>
        <v>4009000</v>
      </c>
      <c r="J211" s="500"/>
      <c r="K211" s="501"/>
    </row>
    <row r="212" spans="1:11" s="502" customFormat="1" ht="21" customHeight="1" thickBot="1">
      <c r="A212" s="814"/>
      <c r="B212" s="1013"/>
      <c r="C212" s="1014"/>
      <c r="D212" s="1015"/>
      <c r="E212" s="535" t="s">
        <v>187</v>
      </c>
      <c r="F212" s="525">
        <f>G212+H212+I212</f>
        <v>3794000</v>
      </c>
      <c r="G212" s="536">
        <f t="shared" si="1"/>
        <v>373900</v>
      </c>
      <c r="H212" s="536">
        <f t="shared" si="1"/>
        <v>2181600</v>
      </c>
      <c r="I212" s="815">
        <f t="shared" si="1"/>
        <v>1238500</v>
      </c>
      <c r="J212" s="500"/>
      <c r="K212" s="501"/>
    </row>
    <row r="213" spans="1:10" s="540" customFormat="1" ht="14.25" customHeight="1">
      <c r="A213" s="537"/>
      <c r="B213" s="482"/>
      <c r="C213" s="538"/>
      <c r="D213" s="482"/>
      <c r="E213" s="483"/>
      <c r="F213" s="483"/>
      <c r="G213" s="539"/>
      <c r="H213" s="539"/>
      <c r="I213" s="539"/>
      <c r="J213" s="482"/>
    </row>
    <row r="214" spans="6:9" ht="18.75" customHeight="1">
      <c r="F214" s="542"/>
      <c r="G214" s="539"/>
      <c r="H214" s="539"/>
      <c r="I214" s="539"/>
    </row>
    <row r="215" spans="7:9" ht="18.75" customHeight="1">
      <c r="G215" s="539"/>
      <c r="H215" s="539"/>
      <c r="I215" s="539"/>
    </row>
    <row r="216" spans="7:9" ht="18.75" customHeight="1">
      <c r="G216" s="539"/>
      <c r="H216" s="539"/>
      <c r="I216" s="539"/>
    </row>
  </sheetData>
  <mergeCells count="140">
    <mergeCell ref="B116:B120"/>
    <mergeCell ref="C116:C120"/>
    <mergeCell ref="D177:D181"/>
    <mergeCell ref="D172:D176"/>
    <mergeCell ref="B157:B161"/>
    <mergeCell ref="C162:C166"/>
    <mergeCell ref="B167:B171"/>
    <mergeCell ref="C167:C171"/>
    <mergeCell ref="D167:D171"/>
    <mergeCell ref="D157:D161"/>
    <mergeCell ref="D4:D7"/>
    <mergeCell ref="D39:D43"/>
    <mergeCell ref="D64:D68"/>
    <mergeCell ref="B95:B99"/>
    <mergeCell ref="C95:C99"/>
    <mergeCell ref="D95:D99"/>
    <mergeCell ref="B4:B7"/>
    <mergeCell ref="B19:B23"/>
    <mergeCell ref="B39:B43"/>
    <mergeCell ref="B9:B13"/>
    <mergeCell ref="A90:A94"/>
    <mergeCell ref="A1:I1"/>
    <mergeCell ref="C39:C43"/>
    <mergeCell ref="G4:I5"/>
    <mergeCell ref="G6:G7"/>
    <mergeCell ref="H6:H7"/>
    <mergeCell ref="E4:F7"/>
    <mergeCell ref="D9:D13"/>
    <mergeCell ref="B29:B33"/>
    <mergeCell ref="A4:A7"/>
    <mergeCell ref="A85:A89"/>
    <mergeCell ref="D85:D89"/>
    <mergeCell ref="B49:B53"/>
    <mergeCell ref="B54:B58"/>
    <mergeCell ref="B85:B89"/>
    <mergeCell ref="C85:C89"/>
    <mergeCell ref="C75:C79"/>
    <mergeCell ref="D49:D53"/>
    <mergeCell ref="D69:D73"/>
    <mergeCell ref="D54:D58"/>
    <mergeCell ref="I6:I7"/>
    <mergeCell ref="B75:B79"/>
    <mergeCell ref="C19:C23"/>
    <mergeCell ref="C29:C33"/>
    <mergeCell ref="C4:C7"/>
    <mergeCell ref="E8:F8"/>
    <mergeCell ref="D19:D23"/>
    <mergeCell ref="D29:D33"/>
    <mergeCell ref="C49:C53"/>
    <mergeCell ref="C54:C58"/>
    <mergeCell ref="D75:D79"/>
    <mergeCell ref="D59:D63"/>
    <mergeCell ref="C90:C94"/>
    <mergeCell ref="D90:D94"/>
    <mergeCell ref="B90:B94"/>
    <mergeCell ref="D111:D115"/>
    <mergeCell ref="D105:D109"/>
    <mergeCell ref="B100:B104"/>
    <mergeCell ref="C100:C104"/>
    <mergeCell ref="D100:D104"/>
    <mergeCell ref="B105:B109"/>
    <mergeCell ref="C105:C109"/>
    <mergeCell ref="D126:D130"/>
    <mergeCell ref="D162:D166"/>
    <mergeCell ref="B111:B115"/>
    <mergeCell ref="C111:C115"/>
    <mergeCell ref="B126:B130"/>
    <mergeCell ref="B136:B140"/>
    <mergeCell ref="D116:D120"/>
    <mergeCell ref="B121:B125"/>
    <mergeCell ref="C121:C125"/>
    <mergeCell ref="D121:D125"/>
    <mergeCell ref="D131:D135"/>
    <mergeCell ref="D136:D140"/>
    <mergeCell ref="D141:D145"/>
    <mergeCell ref="D152:D156"/>
    <mergeCell ref="D147:D151"/>
    <mergeCell ref="B193:B197"/>
    <mergeCell ref="C193:C197"/>
    <mergeCell ref="D193:D197"/>
    <mergeCell ref="C152:C156"/>
    <mergeCell ref="B172:B176"/>
    <mergeCell ref="B162:B166"/>
    <mergeCell ref="C157:C161"/>
    <mergeCell ref="B208:D212"/>
    <mergeCell ref="B198:B202"/>
    <mergeCell ref="D198:D202"/>
    <mergeCell ref="C198:C202"/>
    <mergeCell ref="A9:A33"/>
    <mergeCell ref="D183:D187"/>
    <mergeCell ref="B177:B181"/>
    <mergeCell ref="C177:C181"/>
    <mergeCell ref="B183:B187"/>
    <mergeCell ref="C183:C187"/>
    <mergeCell ref="B147:B151"/>
    <mergeCell ref="C147:C151"/>
    <mergeCell ref="C172:C176"/>
    <mergeCell ref="B152:B156"/>
    <mergeCell ref="B24:B28"/>
    <mergeCell ref="C24:C28"/>
    <mergeCell ref="D24:D28"/>
    <mergeCell ref="C9:C13"/>
    <mergeCell ref="B14:B18"/>
    <mergeCell ref="C14:C18"/>
    <mergeCell ref="D14:D18"/>
    <mergeCell ref="A193:A202"/>
    <mergeCell ref="B44:B48"/>
    <mergeCell ref="C44:C48"/>
    <mergeCell ref="A39:A68"/>
    <mergeCell ref="B64:B68"/>
    <mergeCell ref="C64:C68"/>
    <mergeCell ref="B59:B63"/>
    <mergeCell ref="C59:C63"/>
    <mergeCell ref="B188:B192"/>
    <mergeCell ref="C188:C192"/>
    <mergeCell ref="E38:F38"/>
    <mergeCell ref="E74:F74"/>
    <mergeCell ref="A69:A73"/>
    <mergeCell ref="A75:A84"/>
    <mergeCell ref="D44:D48"/>
    <mergeCell ref="B80:B84"/>
    <mergeCell ref="C80:C84"/>
    <mergeCell ref="D80:D84"/>
    <mergeCell ref="B69:B73"/>
    <mergeCell ref="C69:C73"/>
    <mergeCell ref="E110:F110"/>
    <mergeCell ref="A95:A109"/>
    <mergeCell ref="A131:A145"/>
    <mergeCell ref="A111:A130"/>
    <mergeCell ref="C126:C130"/>
    <mergeCell ref="B131:B135"/>
    <mergeCell ref="C131:C135"/>
    <mergeCell ref="C136:C140"/>
    <mergeCell ref="B141:B145"/>
    <mergeCell ref="C141:C145"/>
    <mergeCell ref="E146:F146"/>
    <mergeCell ref="A147:A181"/>
    <mergeCell ref="E182:F182"/>
    <mergeCell ref="A183:A192"/>
    <mergeCell ref="D188:D192"/>
  </mergeCells>
  <printOptions/>
  <pageMargins left="0.1968503937007874" right="0.15748031496062992" top="1.062992125984252" bottom="0.31496062992125984" header="0.4330708661417323" footer="0.11811023622047245"/>
  <pageSetup horizontalDpi="300" verticalDpi="300" orientation="landscape" paperSize="9" scale="90" r:id="rId1"/>
  <headerFooter alignWithMargins="0">
    <oddHeader>&amp;R&amp;"Arial CE,Pogrubiony"Załącznik Nr &amp;A&amp;"Arial CE,Standardowy"
&amp;9do Uchwały Rady Gminy
Miłkowice Nr XXXV/181/2009
z dnia 30 stycznia 2009 roku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7"/>
  <dimension ref="A1:M126"/>
  <sheetViews>
    <sheetView zoomScale="75" zoomScaleNormal="75" workbookViewId="0" topLeftCell="A70">
      <selection activeCell="A84" sqref="A1:K84"/>
    </sheetView>
  </sheetViews>
  <sheetFormatPr defaultColWidth="9.00390625" defaultRowHeight="12.75"/>
  <cols>
    <col min="1" max="1" width="3.625" style="116" customWidth="1"/>
    <col min="2" max="2" width="46.00390625" style="113" customWidth="1"/>
    <col min="3" max="3" width="10.375" style="115" customWidth="1"/>
    <col min="4" max="4" width="10.125" style="114" customWidth="1"/>
    <col min="5" max="5" width="25.75390625" style="114" customWidth="1"/>
    <col min="6" max="6" width="17.00390625" style="114" customWidth="1"/>
    <col min="7" max="7" width="14.875" style="114" customWidth="1"/>
    <col min="8" max="8" width="11.875" style="114" customWidth="1"/>
    <col min="9" max="10" width="12.875" style="114" bestFit="1" customWidth="1"/>
    <col min="11" max="11" width="13.25390625" style="113" customWidth="1"/>
    <col min="12" max="12" width="9.125" style="111" customWidth="1"/>
    <col min="13" max="13" width="9.125" style="593" customWidth="1"/>
    <col min="14" max="16384" width="9.125" style="111" customWidth="1"/>
  </cols>
  <sheetData>
    <row r="1" spans="1:13" s="124" customFormat="1" ht="16.5" customHeight="1">
      <c r="A1" s="1057" t="s">
        <v>183</v>
      </c>
      <c r="B1" s="1057"/>
      <c r="C1" s="1057"/>
      <c r="D1" s="1057"/>
      <c r="E1" s="1057"/>
      <c r="F1" s="1057"/>
      <c r="G1" s="1057"/>
      <c r="H1" s="1057"/>
      <c r="I1" s="1057"/>
      <c r="J1" s="1057"/>
      <c r="K1" s="1057"/>
      <c r="M1" s="543"/>
    </row>
    <row r="2" spans="1:13" s="124" customFormat="1" ht="9.75" customHeight="1" thickBot="1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544" t="s">
        <v>275</v>
      </c>
      <c r="M2" s="543"/>
    </row>
    <row r="3" spans="1:13" s="124" customFormat="1" ht="21.75" customHeight="1">
      <c r="A3" s="1058" t="s">
        <v>280</v>
      </c>
      <c r="B3" s="1061" t="s">
        <v>341</v>
      </c>
      <c r="C3" s="1061" t="s">
        <v>342</v>
      </c>
      <c r="D3" s="1061" t="s">
        <v>70</v>
      </c>
      <c r="E3" s="1064" t="s">
        <v>54</v>
      </c>
      <c r="F3" s="1065"/>
      <c r="G3" s="1066"/>
      <c r="H3" s="1051" t="s">
        <v>184</v>
      </c>
      <c r="I3" s="1052"/>
      <c r="J3" s="1052"/>
      <c r="K3" s="1053"/>
      <c r="M3" s="543"/>
    </row>
    <row r="4" spans="1:13" s="124" customFormat="1" ht="9" customHeight="1">
      <c r="A4" s="1059"/>
      <c r="B4" s="1062"/>
      <c r="C4" s="1062"/>
      <c r="D4" s="1062"/>
      <c r="E4" s="1062" t="s">
        <v>55</v>
      </c>
      <c r="F4" s="1062" t="s">
        <v>269</v>
      </c>
      <c r="G4" s="1049" t="s">
        <v>271</v>
      </c>
      <c r="H4" s="1054"/>
      <c r="I4" s="1055"/>
      <c r="J4" s="1055"/>
      <c r="K4" s="1056"/>
      <c r="M4" s="543"/>
    </row>
    <row r="5" spans="1:13" s="124" customFormat="1" ht="18.75" customHeight="1" thickBot="1">
      <c r="A5" s="1060"/>
      <c r="B5" s="1063"/>
      <c r="C5" s="1063"/>
      <c r="D5" s="1063"/>
      <c r="E5" s="1063"/>
      <c r="F5" s="1063"/>
      <c r="G5" s="1050"/>
      <c r="H5" s="221" t="s">
        <v>56</v>
      </c>
      <c r="I5" s="221" t="s">
        <v>112</v>
      </c>
      <c r="J5" s="221" t="s">
        <v>47</v>
      </c>
      <c r="K5" s="222" t="s">
        <v>266</v>
      </c>
      <c r="M5" s="543"/>
    </row>
    <row r="6" spans="1:13" s="125" customFormat="1" ht="8.25" customHeight="1" thickBot="1">
      <c r="A6" s="816">
        <v>1</v>
      </c>
      <c r="B6" s="817">
        <v>2</v>
      </c>
      <c r="C6" s="817">
        <v>3</v>
      </c>
      <c r="D6" s="817">
        <v>4</v>
      </c>
      <c r="E6" s="817">
        <v>5</v>
      </c>
      <c r="F6" s="818">
        <v>6</v>
      </c>
      <c r="G6" s="818">
        <v>7</v>
      </c>
      <c r="H6" s="818">
        <v>8</v>
      </c>
      <c r="I6" s="818">
        <v>9</v>
      </c>
      <c r="J6" s="818">
        <v>10</v>
      </c>
      <c r="K6" s="819">
        <v>11</v>
      </c>
      <c r="M6" s="545"/>
    </row>
    <row r="7" spans="1:13" s="126" customFormat="1" ht="24" customHeight="1" thickBot="1">
      <c r="A7" s="820"/>
      <c r="B7" s="821" t="s">
        <v>57</v>
      </c>
      <c r="C7" s="822" t="s">
        <v>325</v>
      </c>
      <c r="D7" s="822" t="s">
        <v>325</v>
      </c>
      <c r="E7" s="822" t="s">
        <v>325</v>
      </c>
      <c r="F7" s="223">
        <f aca="true" t="shared" si="0" ref="F7:K7">F34+F49+F44+F55+F65+F70+F75+F60+F39+F29+F23+F18+F13+F8</f>
        <v>32262.800000000003</v>
      </c>
      <c r="G7" s="223">
        <f t="shared" si="0"/>
        <v>386.90000000000003</v>
      </c>
      <c r="H7" s="223">
        <f t="shared" si="0"/>
        <v>2181.3</v>
      </c>
      <c r="I7" s="223">
        <f t="shared" si="0"/>
        <v>11219.5</v>
      </c>
      <c r="J7" s="223">
        <f t="shared" si="0"/>
        <v>10885</v>
      </c>
      <c r="K7" s="869">
        <f t="shared" si="0"/>
        <v>24285.8</v>
      </c>
      <c r="M7" s="546"/>
    </row>
    <row r="8" spans="1:13" s="126" customFormat="1" ht="18.75" customHeight="1">
      <c r="A8" s="547" t="s">
        <v>293</v>
      </c>
      <c r="B8" s="548" t="s">
        <v>267</v>
      </c>
      <c r="C8" s="549">
        <v>46</v>
      </c>
      <c r="D8" s="550" t="s">
        <v>276</v>
      </c>
      <c r="E8" s="551" t="s">
        <v>61</v>
      </c>
      <c r="F8" s="552">
        <f>F9+F10+F11+F12</f>
        <v>8754.6</v>
      </c>
      <c r="G8" s="552">
        <f>G9+G10+G11+G12</f>
        <v>42.3</v>
      </c>
      <c r="H8" s="552">
        <f>H9+H10+H11+H12</f>
        <v>712.4000000000001</v>
      </c>
      <c r="I8" s="552">
        <f>I9+I10+I11+I12</f>
        <v>4000</v>
      </c>
      <c r="J8" s="552">
        <f>J9+J10+J11+J12</f>
        <v>4000</v>
      </c>
      <c r="K8" s="553">
        <f aca="true" t="shared" si="1" ref="K8:K27">H8+I8+J8</f>
        <v>8712.4</v>
      </c>
      <c r="M8" s="546"/>
    </row>
    <row r="9" spans="1:13" s="126" customFormat="1" ht="51">
      <c r="A9" s="554"/>
      <c r="B9" s="555" t="s">
        <v>741</v>
      </c>
      <c r="C9" s="549"/>
      <c r="D9" s="556"/>
      <c r="E9" s="557" t="s">
        <v>62</v>
      </c>
      <c r="F9" s="558">
        <v>2483.6</v>
      </c>
      <c r="G9" s="558">
        <v>42.3</v>
      </c>
      <c r="H9" s="558">
        <v>249.3</v>
      </c>
      <c r="I9" s="558">
        <v>1096</v>
      </c>
      <c r="J9" s="558">
        <v>1096</v>
      </c>
      <c r="K9" s="559">
        <f t="shared" si="1"/>
        <v>2441.3</v>
      </c>
      <c r="M9" s="546"/>
    </row>
    <row r="10" spans="1:13" s="126" customFormat="1" ht="18.75" customHeight="1">
      <c r="A10" s="554"/>
      <c r="B10" s="555" t="s">
        <v>268</v>
      </c>
      <c r="C10" s="549"/>
      <c r="D10" s="556"/>
      <c r="E10" s="557" t="s">
        <v>68</v>
      </c>
      <c r="F10" s="558">
        <v>1737</v>
      </c>
      <c r="G10" s="558"/>
      <c r="H10" s="558">
        <v>0</v>
      </c>
      <c r="I10" s="558">
        <v>868.5</v>
      </c>
      <c r="J10" s="558">
        <v>868.5</v>
      </c>
      <c r="K10" s="559">
        <f t="shared" si="1"/>
        <v>1737</v>
      </c>
      <c r="M10" s="546"/>
    </row>
    <row r="11" spans="1:13" s="126" customFormat="1" ht="18.75" customHeight="1">
      <c r="A11" s="554"/>
      <c r="B11" s="1067" t="s">
        <v>742</v>
      </c>
      <c r="C11" s="549"/>
      <c r="D11" s="556"/>
      <c r="E11" s="557" t="s">
        <v>63</v>
      </c>
      <c r="F11" s="558">
        <v>0</v>
      </c>
      <c r="G11" s="558"/>
      <c r="H11" s="558">
        <v>0</v>
      </c>
      <c r="I11" s="558">
        <v>0</v>
      </c>
      <c r="J11" s="558">
        <v>0</v>
      </c>
      <c r="K11" s="559">
        <f t="shared" si="1"/>
        <v>0</v>
      </c>
      <c r="M11" s="546"/>
    </row>
    <row r="12" spans="1:13" s="126" customFormat="1" ht="22.5" customHeight="1" thickBot="1">
      <c r="A12" s="560"/>
      <c r="B12" s="1068"/>
      <c r="C12" s="561"/>
      <c r="D12" s="562"/>
      <c r="E12" s="563" t="s">
        <v>64</v>
      </c>
      <c r="F12" s="564">
        <v>4534</v>
      </c>
      <c r="G12" s="564"/>
      <c r="H12" s="564">
        <v>463.1</v>
      </c>
      <c r="I12" s="564">
        <v>2035.5</v>
      </c>
      <c r="J12" s="564">
        <v>2035.5</v>
      </c>
      <c r="K12" s="565">
        <f t="shared" si="1"/>
        <v>4534.1</v>
      </c>
      <c r="M12" s="546"/>
    </row>
    <row r="13" spans="1:13" s="126" customFormat="1" ht="20.25" customHeight="1">
      <c r="A13" s="547" t="s">
        <v>294</v>
      </c>
      <c r="B13" s="566" t="s">
        <v>272</v>
      </c>
      <c r="C13" s="549"/>
      <c r="D13" s="550" t="s">
        <v>276</v>
      </c>
      <c r="E13" s="551" t="s">
        <v>65</v>
      </c>
      <c r="F13" s="552">
        <f>F14+F15+F16+F17</f>
        <v>5117</v>
      </c>
      <c r="G13" s="552">
        <f>G14+G15+G16+G17</f>
        <v>7</v>
      </c>
      <c r="H13" s="552">
        <f>H14+H15+H16+H17</f>
        <v>110</v>
      </c>
      <c r="I13" s="552">
        <f>I14+I15+I16+I17</f>
        <v>2500</v>
      </c>
      <c r="J13" s="552">
        <f>J14+J15+J16+J17</f>
        <v>2500</v>
      </c>
      <c r="K13" s="553">
        <f t="shared" si="1"/>
        <v>5110</v>
      </c>
      <c r="M13" s="546"/>
    </row>
    <row r="14" spans="1:13" s="126" customFormat="1" ht="25.5">
      <c r="A14" s="554"/>
      <c r="B14" s="555" t="s">
        <v>273</v>
      </c>
      <c r="C14" s="549"/>
      <c r="D14" s="556"/>
      <c r="E14" s="557" t="s">
        <v>67</v>
      </c>
      <c r="F14" s="558">
        <v>253</v>
      </c>
      <c r="G14" s="558">
        <v>7</v>
      </c>
      <c r="H14" s="558">
        <v>46</v>
      </c>
      <c r="I14" s="558">
        <v>100</v>
      </c>
      <c r="J14" s="558">
        <v>100</v>
      </c>
      <c r="K14" s="559">
        <f t="shared" si="1"/>
        <v>246</v>
      </c>
      <c r="M14" s="546"/>
    </row>
    <row r="15" spans="1:13" s="126" customFormat="1" ht="18.75" customHeight="1">
      <c r="A15" s="554"/>
      <c r="B15" s="555" t="s">
        <v>274</v>
      </c>
      <c r="C15" s="549"/>
      <c r="D15" s="556"/>
      <c r="E15" s="557" t="s">
        <v>68</v>
      </c>
      <c r="F15" s="558">
        <v>200</v>
      </c>
      <c r="G15" s="558"/>
      <c r="H15" s="558">
        <v>0</v>
      </c>
      <c r="I15" s="558">
        <v>100</v>
      </c>
      <c r="J15" s="558">
        <v>100</v>
      </c>
      <c r="K15" s="559">
        <f t="shared" si="1"/>
        <v>200</v>
      </c>
      <c r="M15" s="546"/>
    </row>
    <row r="16" spans="1:13" s="126" customFormat="1" ht="18.75" customHeight="1">
      <c r="A16" s="554"/>
      <c r="B16" s="1067" t="s">
        <v>743</v>
      </c>
      <c r="C16" s="549"/>
      <c r="D16" s="556"/>
      <c r="E16" s="557" t="s">
        <v>63</v>
      </c>
      <c r="F16" s="558">
        <v>414</v>
      </c>
      <c r="G16" s="558"/>
      <c r="H16" s="558">
        <v>64</v>
      </c>
      <c r="I16" s="558">
        <v>175</v>
      </c>
      <c r="J16" s="558">
        <v>175</v>
      </c>
      <c r="K16" s="559">
        <f t="shared" si="1"/>
        <v>414</v>
      </c>
      <c r="M16" s="546"/>
    </row>
    <row r="17" spans="1:13" s="126" customFormat="1" ht="22.5" customHeight="1" thickBot="1">
      <c r="A17" s="560"/>
      <c r="B17" s="1069"/>
      <c r="C17" s="561"/>
      <c r="D17" s="562"/>
      <c r="E17" s="563" t="s">
        <v>66</v>
      </c>
      <c r="F17" s="564">
        <v>4250</v>
      </c>
      <c r="G17" s="564"/>
      <c r="H17" s="564">
        <v>0</v>
      </c>
      <c r="I17" s="564">
        <v>2125</v>
      </c>
      <c r="J17" s="564">
        <v>2125</v>
      </c>
      <c r="K17" s="565">
        <f t="shared" si="1"/>
        <v>4250</v>
      </c>
      <c r="M17" s="546"/>
    </row>
    <row r="18" spans="1:13" s="127" customFormat="1" ht="19.5" customHeight="1">
      <c r="A18" s="547" t="s">
        <v>295</v>
      </c>
      <c r="B18" s="566" t="s">
        <v>272</v>
      </c>
      <c r="C18" s="549"/>
      <c r="D18" s="550" t="s">
        <v>276</v>
      </c>
      <c r="E18" s="551" t="s">
        <v>61</v>
      </c>
      <c r="F18" s="552">
        <f>F19+F20+F21+F22</f>
        <v>3100</v>
      </c>
      <c r="G18" s="552">
        <f>G19+G20+G21+G22</f>
        <v>0</v>
      </c>
      <c r="H18" s="552">
        <f>H19+H20+H21+H22</f>
        <v>0</v>
      </c>
      <c r="I18" s="552">
        <f>I19+I20+I21+I22</f>
        <v>100</v>
      </c>
      <c r="J18" s="552">
        <f>J19+J20+J21+J22</f>
        <v>1500</v>
      </c>
      <c r="K18" s="553">
        <f t="shared" si="1"/>
        <v>1600</v>
      </c>
      <c r="M18" s="567"/>
    </row>
    <row r="19" spans="1:13" s="127" customFormat="1" ht="27.75" customHeight="1">
      <c r="A19" s="554"/>
      <c r="B19" s="555" t="s">
        <v>273</v>
      </c>
      <c r="C19" s="549"/>
      <c r="D19" s="556"/>
      <c r="E19" s="557" t="s">
        <v>62</v>
      </c>
      <c r="F19" s="558">
        <v>250</v>
      </c>
      <c r="G19" s="558"/>
      <c r="H19" s="558"/>
      <c r="I19" s="558">
        <v>100</v>
      </c>
      <c r="J19" s="558">
        <v>75</v>
      </c>
      <c r="K19" s="559">
        <f t="shared" si="1"/>
        <v>175</v>
      </c>
      <c r="M19" s="567"/>
    </row>
    <row r="20" spans="1:13" s="127" customFormat="1" ht="18.75" customHeight="1">
      <c r="A20" s="554"/>
      <c r="B20" s="555" t="s">
        <v>274</v>
      </c>
      <c r="C20" s="568"/>
      <c r="D20" s="556"/>
      <c r="E20" s="557" t="s">
        <v>68</v>
      </c>
      <c r="F20" s="558">
        <v>150</v>
      </c>
      <c r="G20" s="558"/>
      <c r="H20" s="558"/>
      <c r="I20" s="558">
        <v>0</v>
      </c>
      <c r="J20" s="558">
        <v>75</v>
      </c>
      <c r="K20" s="559">
        <f t="shared" si="1"/>
        <v>75</v>
      </c>
      <c r="M20" s="567"/>
    </row>
    <row r="21" spans="1:13" s="127" customFormat="1" ht="18.75" customHeight="1">
      <c r="A21" s="554"/>
      <c r="B21" s="1067" t="s">
        <v>744</v>
      </c>
      <c r="C21" s="568"/>
      <c r="D21" s="556"/>
      <c r="E21" s="557" t="s">
        <v>63</v>
      </c>
      <c r="F21" s="558">
        <v>450</v>
      </c>
      <c r="G21" s="558"/>
      <c r="H21" s="558"/>
      <c r="I21" s="558">
        <v>0</v>
      </c>
      <c r="J21" s="558">
        <v>225</v>
      </c>
      <c r="K21" s="559">
        <f t="shared" si="1"/>
        <v>225</v>
      </c>
      <c r="M21" s="567"/>
    </row>
    <row r="22" spans="1:13" s="127" customFormat="1" ht="18.75" customHeight="1" thickBot="1">
      <c r="A22" s="560"/>
      <c r="B22" s="1068"/>
      <c r="C22" s="569"/>
      <c r="D22" s="562"/>
      <c r="E22" s="563" t="s">
        <v>66</v>
      </c>
      <c r="F22" s="564">
        <v>2250</v>
      </c>
      <c r="G22" s="564"/>
      <c r="H22" s="564"/>
      <c r="I22" s="564">
        <v>0</v>
      </c>
      <c r="J22" s="564">
        <v>1125</v>
      </c>
      <c r="K22" s="565">
        <f t="shared" si="1"/>
        <v>1125</v>
      </c>
      <c r="M22" s="567"/>
    </row>
    <row r="23" spans="1:13" s="127" customFormat="1" ht="19.5" customHeight="1">
      <c r="A23" s="570" t="s">
        <v>284</v>
      </c>
      <c r="B23" s="571" t="s">
        <v>745</v>
      </c>
      <c r="C23" s="823"/>
      <c r="D23" s="824" t="s">
        <v>276</v>
      </c>
      <c r="E23" s="825" t="s">
        <v>65</v>
      </c>
      <c r="F23" s="826">
        <f>F24+F25+F26+F27</f>
        <v>603.7</v>
      </c>
      <c r="G23" s="826">
        <f>G24+G25+G26+G27</f>
        <v>96</v>
      </c>
      <c r="H23" s="826">
        <f>H24+H25+H26+H27</f>
        <v>660</v>
      </c>
      <c r="I23" s="826">
        <f>I24+I25+I26+I27</f>
        <v>0</v>
      </c>
      <c r="J23" s="826">
        <f>J24+J25+J26+J27</f>
        <v>0</v>
      </c>
      <c r="K23" s="827">
        <f t="shared" si="1"/>
        <v>660</v>
      </c>
      <c r="M23" s="567"/>
    </row>
    <row r="24" spans="1:13" s="127" customFormat="1" ht="25.5">
      <c r="A24" s="554"/>
      <c r="B24" s="828" t="s">
        <v>746</v>
      </c>
      <c r="C24" s="829"/>
      <c r="D24" s="830"/>
      <c r="E24" s="831" t="s">
        <v>67</v>
      </c>
      <c r="F24" s="832">
        <v>35.1</v>
      </c>
      <c r="G24" s="832">
        <v>96</v>
      </c>
      <c r="H24" s="832">
        <v>210</v>
      </c>
      <c r="I24" s="832"/>
      <c r="J24" s="832">
        <v>0</v>
      </c>
      <c r="K24" s="833">
        <f t="shared" si="1"/>
        <v>210</v>
      </c>
      <c r="M24" s="567"/>
    </row>
    <row r="25" spans="1:13" s="127" customFormat="1" ht="18" customHeight="1">
      <c r="A25" s="554"/>
      <c r="B25" s="828" t="s">
        <v>747</v>
      </c>
      <c r="C25" s="829"/>
      <c r="D25" s="834"/>
      <c r="E25" s="831" t="s">
        <v>68</v>
      </c>
      <c r="F25" s="832">
        <v>142.6</v>
      </c>
      <c r="G25" s="832"/>
      <c r="H25" s="832">
        <v>0</v>
      </c>
      <c r="I25" s="832"/>
      <c r="J25" s="832"/>
      <c r="K25" s="833">
        <f t="shared" si="1"/>
        <v>0</v>
      </c>
      <c r="M25" s="567"/>
    </row>
    <row r="26" spans="1:13" s="127" customFormat="1" ht="18.75" customHeight="1">
      <c r="A26" s="554"/>
      <c r="B26" s="1070" t="s">
        <v>748</v>
      </c>
      <c r="C26" s="829"/>
      <c r="D26" s="834"/>
      <c r="E26" s="831" t="s">
        <v>163</v>
      </c>
      <c r="F26" s="832">
        <v>426</v>
      </c>
      <c r="G26" s="832"/>
      <c r="H26" s="832">
        <v>450</v>
      </c>
      <c r="I26" s="832"/>
      <c r="J26" s="832">
        <v>0</v>
      </c>
      <c r="K26" s="833">
        <f t="shared" si="1"/>
        <v>450</v>
      </c>
      <c r="M26" s="567"/>
    </row>
    <row r="27" spans="1:13" s="127" customFormat="1" ht="16.5" thickBot="1">
      <c r="A27" s="560"/>
      <c r="B27" s="1071"/>
      <c r="C27" s="835"/>
      <c r="D27" s="836"/>
      <c r="E27" s="837" t="s">
        <v>205</v>
      </c>
      <c r="F27" s="838">
        <v>0</v>
      </c>
      <c r="G27" s="838"/>
      <c r="H27" s="838">
        <v>0</v>
      </c>
      <c r="I27" s="838"/>
      <c r="J27" s="838"/>
      <c r="K27" s="839">
        <f t="shared" si="1"/>
        <v>0</v>
      </c>
      <c r="M27" s="567"/>
    </row>
    <row r="28" spans="1:13" s="127" customFormat="1" ht="11.25" customHeight="1" hidden="1" thickBot="1">
      <c r="A28" s="576"/>
      <c r="B28" s="840"/>
      <c r="C28" s="577"/>
      <c r="D28" s="578"/>
      <c r="E28" s="579"/>
      <c r="F28" s="580"/>
      <c r="G28" s="580"/>
      <c r="H28" s="580"/>
      <c r="I28" s="580"/>
      <c r="J28" s="580"/>
      <c r="K28" s="581"/>
      <c r="M28" s="567"/>
    </row>
    <row r="29" spans="1:13" s="124" customFormat="1" ht="18.75" customHeight="1">
      <c r="A29" s="570" t="s">
        <v>299</v>
      </c>
      <c r="B29" s="566" t="s">
        <v>272</v>
      </c>
      <c r="C29" s="572"/>
      <c r="D29" s="582" t="s">
        <v>731</v>
      </c>
      <c r="E29" s="573" t="s">
        <v>65</v>
      </c>
      <c r="F29" s="574">
        <f>F30+F31+F32+F33</f>
        <v>300</v>
      </c>
      <c r="G29" s="574">
        <f>G30+G31+G32+G33</f>
        <v>0</v>
      </c>
      <c r="H29" s="574">
        <f>H30+H31+H32+H33</f>
        <v>30</v>
      </c>
      <c r="I29" s="574">
        <f>I30+I31+I32+I33</f>
        <v>270</v>
      </c>
      <c r="J29" s="574">
        <f>J30+J31+J32+J33</f>
        <v>0</v>
      </c>
      <c r="K29" s="575">
        <f aca="true" t="shared" si="2" ref="K29:K53">H29+I29+J29</f>
        <v>300</v>
      </c>
      <c r="M29" s="543"/>
    </row>
    <row r="30" spans="1:13" s="124" customFormat="1" ht="18.75" customHeight="1">
      <c r="A30" s="554"/>
      <c r="B30" s="555" t="s">
        <v>274</v>
      </c>
      <c r="C30" s="568"/>
      <c r="D30" s="584"/>
      <c r="E30" s="557" t="s">
        <v>67</v>
      </c>
      <c r="F30" s="558">
        <v>98</v>
      </c>
      <c r="G30" s="558"/>
      <c r="H30" s="558">
        <v>30</v>
      </c>
      <c r="I30" s="558">
        <v>68</v>
      </c>
      <c r="J30" s="558"/>
      <c r="K30" s="559">
        <f t="shared" si="2"/>
        <v>98</v>
      </c>
      <c r="M30" s="543"/>
    </row>
    <row r="31" spans="1:13" s="124" customFormat="1" ht="18" customHeight="1">
      <c r="A31" s="554"/>
      <c r="B31" s="555" t="s">
        <v>165</v>
      </c>
      <c r="C31" s="568"/>
      <c r="D31" s="584"/>
      <c r="E31" s="557" t="s">
        <v>68</v>
      </c>
      <c r="F31" s="558">
        <f>G31+H31+I31+J31</f>
        <v>0</v>
      </c>
      <c r="G31" s="558"/>
      <c r="H31" s="558"/>
      <c r="I31" s="558">
        <v>0</v>
      </c>
      <c r="J31" s="558"/>
      <c r="K31" s="559">
        <f t="shared" si="2"/>
        <v>0</v>
      </c>
      <c r="M31" s="543"/>
    </row>
    <row r="32" spans="1:13" s="124" customFormat="1" ht="18" customHeight="1">
      <c r="A32" s="554"/>
      <c r="B32" s="1067" t="s">
        <v>749</v>
      </c>
      <c r="C32" s="568"/>
      <c r="D32" s="584"/>
      <c r="E32" s="557" t="s">
        <v>63</v>
      </c>
      <c r="F32" s="558">
        <f>G32+H32+I32+J32</f>
        <v>0</v>
      </c>
      <c r="G32" s="558"/>
      <c r="H32" s="558"/>
      <c r="I32" s="558">
        <v>0</v>
      </c>
      <c r="J32" s="558"/>
      <c r="K32" s="559">
        <f t="shared" si="2"/>
        <v>0</v>
      </c>
      <c r="M32" s="543"/>
    </row>
    <row r="33" spans="1:13" s="124" customFormat="1" ht="16.5" thickBot="1">
      <c r="A33" s="560"/>
      <c r="B33" s="1068"/>
      <c r="C33" s="569"/>
      <c r="D33" s="585"/>
      <c r="E33" s="563" t="s">
        <v>66</v>
      </c>
      <c r="F33" s="564">
        <v>202</v>
      </c>
      <c r="G33" s="564"/>
      <c r="H33" s="564"/>
      <c r="I33" s="564">
        <v>202</v>
      </c>
      <c r="J33" s="564"/>
      <c r="K33" s="565">
        <f t="shared" si="2"/>
        <v>202</v>
      </c>
      <c r="M33" s="543"/>
    </row>
    <row r="34" spans="1:13" s="126" customFormat="1" ht="18.75" customHeight="1">
      <c r="A34" s="547" t="s">
        <v>302</v>
      </c>
      <c r="B34" s="586" t="s">
        <v>272</v>
      </c>
      <c r="C34" s="549"/>
      <c r="D34" s="587" t="s">
        <v>278</v>
      </c>
      <c r="E34" s="551" t="s">
        <v>65</v>
      </c>
      <c r="F34" s="588">
        <f>F35+F36+F37+F38</f>
        <v>835</v>
      </c>
      <c r="G34" s="588">
        <f>G35+G36+G37+G38</f>
        <v>25</v>
      </c>
      <c r="H34" s="588">
        <f>H35+H36+H37+H38</f>
        <v>406</v>
      </c>
      <c r="I34" s="588">
        <f>I35+I36+I37+I38</f>
        <v>404</v>
      </c>
      <c r="J34" s="588">
        <f>J35+J36+J37+J38</f>
        <v>0</v>
      </c>
      <c r="K34" s="553">
        <f t="shared" si="2"/>
        <v>810</v>
      </c>
      <c r="M34" s="546"/>
    </row>
    <row r="35" spans="1:13" s="126" customFormat="1" ht="18.75" customHeight="1">
      <c r="A35" s="554"/>
      <c r="B35" s="555" t="s">
        <v>274</v>
      </c>
      <c r="C35" s="549"/>
      <c r="D35" s="556"/>
      <c r="E35" s="557" t="s">
        <v>67</v>
      </c>
      <c r="F35" s="558">
        <f>G35+H35+I35+J35</f>
        <v>228</v>
      </c>
      <c r="G35" s="558">
        <v>25</v>
      </c>
      <c r="H35" s="589">
        <v>102</v>
      </c>
      <c r="I35" s="558">
        <v>101</v>
      </c>
      <c r="J35" s="558"/>
      <c r="K35" s="559">
        <f t="shared" si="2"/>
        <v>203</v>
      </c>
      <c r="M35" s="546"/>
    </row>
    <row r="36" spans="1:13" s="126" customFormat="1" ht="18.75" customHeight="1">
      <c r="A36" s="554"/>
      <c r="B36" s="555" t="s">
        <v>165</v>
      </c>
      <c r="C36" s="549"/>
      <c r="D36" s="556"/>
      <c r="E36" s="557" t="s">
        <v>68</v>
      </c>
      <c r="F36" s="558">
        <f>G36+H36+I36+J36</f>
        <v>0</v>
      </c>
      <c r="G36" s="558"/>
      <c r="H36" s="589">
        <v>0</v>
      </c>
      <c r="I36" s="558">
        <v>0</v>
      </c>
      <c r="J36" s="558"/>
      <c r="K36" s="559">
        <f t="shared" si="2"/>
        <v>0</v>
      </c>
      <c r="M36" s="546"/>
    </row>
    <row r="37" spans="1:13" s="126" customFormat="1" ht="18.75" customHeight="1">
      <c r="A37" s="554"/>
      <c r="B37" s="1073" t="s">
        <v>750</v>
      </c>
      <c r="C37" s="841"/>
      <c r="D37" s="556"/>
      <c r="E37" s="590" t="s">
        <v>179</v>
      </c>
      <c r="F37" s="558">
        <f>G37+H37+I37+J37</f>
        <v>0</v>
      </c>
      <c r="G37" s="558"/>
      <c r="H37" s="589">
        <v>0</v>
      </c>
      <c r="I37" s="558">
        <v>0</v>
      </c>
      <c r="J37" s="558"/>
      <c r="K37" s="559">
        <f t="shared" si="2"/>
        <v>0</v>
      </c>
      <c r="M37" s="546"/>
    </row>
    <row r="38" spans="1:13" s="126" customFormat="1" ht="21.75" customHeight="1" thickBot="1">
      <c r="A38" s="554"/>
      <c r="B38" s="1067"/>
      <c r="C38" s="842"/>
      <c r="D38" s="556"/>
      <c r="E38" s="843" t="s">
        <v>66</v>
      </c>
      <c r="F38" s="844">
        <v>607</v>
      </c>
      <c r="G38" s="844"/>
      <c r="H38" s="844">
        <v>304</v>
      </c>
      <c r="I38" s="845">
        <v>303</v>
      </c>
      <c r="J38" s="844"/>
      <c r="K38" s="846">
        <f t="shared" si="2"/>
        <v>607</v>
      </c>
      <c r="M38" s="546"/>
    </row>
    <row r="39" spans="1:13" s="128" customFormat="1" ht="18.75" customHeight="1">
      <c r="A39" s="570" t="s">
        <v>304</v>
      </c>
      <c r="B39" s="566" t="s">
        <v>272</v>
      </c>
      <c r="C39" s="572"/>
      <c r="D39" s="582" t="s">
        <v>277</v>
      </c>
      <c r="E39" s="847" t="s">
        <v>65</v>
      </c>
      <c r="F39" s="574">
        <f>F40+F41+F42+F43</f>
        <v>520.5</v>
      </c>
      <c r="G39" s="574">
        <f>G40+G41+G42+G43</f>
        <v>5.5</v>
      </c>
      <c r="H39" s="574">
        <f>H40+H41+H42+H43</f>
        <v>15</v>
      </c>
      <c r="I39" s="574">
        <f>I40+I41+I42+I43</f>
        <v>0</v>
      </c>
      <c r="J39" s="574">
        <f>J40+J41+J42+J43</f>
        <v>500</v>
      </c>
      <c r="K39" s="575">
        <f t="shared" si="2"/>
        <v>515</v>
      </c>
      <c r="M39" s="583"/>
    </row>
    <row r="40" spans="1:13" s="126" customFormat="1" ht="18.75" customHeight="1">
      <c r="A40" s="554"/>
      <c r="B40" s="555" t="s">
        <v>274</v>
      </c>
      <c r="C40" s="568"/>
      <c r="D40" s="584"/>
      <c r="E40" s="848" t="s">
        <v>67</v>
      </c>
      <c r="F40" s="558">
        <f>G40+H40+I40+J40</f>
        <v>145.5</v>
      </c>
      <c r="G40" s="558">
        <v>5.5</v>
      </c>
      <c r="H40" s="558">
        <v>15</v>
      </c>
      <c r="I40" s="558"/>
      <c r="J40" s="558">
        <v>125</v>
      </c>
      <c r="K40" s="559">
        <f t="shared" si="2"/>
        <v>140</v>
      </c>
      <c r="M40" s="546"/>
    </row>
    <row r="41" spans="1:13" s="126" customFormat="1" ht="18.75" customHeight="1">
      <c r="A41" s="554"/>
      <c r="B41" s="555" t="s">
        <v>165</v>
      </c>
      <c r="C41" s="568"/>
      <c r="D41" s="584"/>
      <c r="E41" s="848" t="s">
        <v>68</v>
      </c>
      <c r="F41" s="558">
        <f>G41+H41+I41+J41</f>
        <v>0</v>
      </c>
      <c r="G41" s="558"/>
      <c r="H41" s="558">
        <v>0</v>
      </c>
      <c r="I41" s="558"/>
      <c r="J41" s="558">
        <v>0</v>
      </c>
      <c r="K41" s="559">
        <f t="shared" si="2"/>
        <v>0</v>
      </c>
      <c r="M41" s="546"/>
    </row>
    <row r="42" spans="1:13" s="126" customFormat="1" ht="15.75">
      <c r="A42" s="554"/>
      <c r="B42" s="1067" t="s">
        <v>751</v>
      </c>
      <c r="C42" s="568"/>
      <c r="D42" s="584"/>
      <c r="E42" s="848" t="s">
        <v>63</v>
      </c>
      <c r="F42" s="558">
        <f>G42+H42+I42+J42</f>
        <v>375</v>
      </c>
      <c r="G42" s="558"/>
      <c r="H42" s="558">
        <v>0</v>
      </c>
      <c r="I42" s="558"/>
      <c r="J42" s="558">
        <v>375</v>
      </c>
      <c r="K42" s="559">
        <f t="shared" si="2"/>
        <v>375</v>
      </c>
      <c r="M42" s="546"/>
    </row>
    <row r="43" spans="1:13" s="127" customFormat="1" ht="16.5" thickBot="1">
      <c r="A43" s="560"/>
      <c r="B43" s="1068"/>
      <c r="C43" s="569"/>
      <c r="D43" s="585"/>
      <c r="E43" s="849" t="s">
        <v>205</v>
      </c>
      <c r="F43" s="564">
        <v>0</v>
      </c>
      <c r="G43" s="564"/>
      <c r="H43" s="564">
        <v>0</v>
      </c>
      <c r="I43" s="564"/>
      <c r="J43" s="564">
        <v>0</v>
      </c>
      <c r="K43" s="565">
        <f t="shared" si="2"/>
        <v>0</v>
      </c>
      <c r="M43" s="567"/>
    </row>
    <row r="44" spans="1:13" s="112" customFormat="1" ht="18.75" customHeight="1">
      <c r="A44" s="570" t="s">
        <v>310</v>
      </c>
      <c r="B44" s="566" t="s">
        <v>272</v>
      </c>
      <c r="C44" s="850"/>
      <c r="D44" s="582" t="s">
        <v>732</v>
      </c>
      <c r="E44" s="847" t="s">
        <v>65</v>
      </c>
      <c r="F44" s="574">
        <f>F45+F46+F47+F48</f>
        <v>530</v>
      </c>
      <c r="G44" s="574">
        <f>G45+G46+G47+G48</f>
        <v>0</v>
      </c>
      <c r="H44" s="574">
        <f>H45+H46+H47+H48</f>
        <v>30</v>
      </c>
      <c r="I44" s="574">
        <f>I45+I46+I47+I48</f>
        <v>500</v>
      </c>
      <c r="J44" s="574">
        <f>J45+J46+J47+J48</f>
        <v>0</v>
      </c>
      <c r="K44" s="575">
        <f t="shared" si="2"/>
        <v>530</v>
      </c>
      <c r="M44" s="851"/>
    </row>
    <row r="45" spans="1:11" ht="18.75" customHeight="1">
      <c r="A45" s="554"/>
      <c r="B45" s="555" t="s">
        <v>274</v>
      </c>
      <c r="C45" s="852"/>
      <c r="D45" s="853"/>
      <c r="E45" s="848" t="s">
        <v>67</v>
      </c>
      <c r="F45" s="558">
        <f>G45+H45+I45+J45</f>
        <v>55</v>
      </c>
      <c r="G45" s="558"/>
      <c r="H45" s="558">
        <v>30</v>
      </c>
      <c r="I45" s="558">
        <v>25</v>
      </c>
      <c r="J45" s="558"/>
      <c r="K45" s="559">
        <f t="shared" si="2"/>
        <v>55</v>
      </c>
    </row>
    <row r="46" spans="1:11" ht="18.75" customHeight="1">
      <c r="A46" s="554"/>
      <c r="B46" s="555" t="s">
        <v>165</v>
      </c>
      <c r="C46" s="852"/>
      <c r="D46" s="853"/>
      <c r="E46" s="848" t="s">
        <v>68</v>
      </c>
      <c r="F46" s="558">
        <f>G46+H46+I46+J46</f>
        <v>475</v>
      </c>
      <c r="G46" s="558"/>
      <c r="H46" s="558"/>
      <c r="I46" s="558">
        <v>475</v>
      </c>
      <c r="J46" s="558"/>
      <c r="K46" s="559">
        <f t="shared" si="2"/>
        <v>475</v>
      </c>
    </row>
    <row r="47" spans="1:11" ht="15.75">
      <c r="A47" s="554"/>
      <c r="B47" s="1073" t="s">
        <v>752</v>
      </c>
      <c r="C47" s="852"/>
      <c r="D47" s="853"/>
      <c r="E47" s="848" t="s">
        <v>63</v>
      </c>
      <c r="F47" s="558">
        <f>G47+H47+I47+J47</f>
        <v>0</v>
      </c>
      <c r="G47" s="558"/>
      <c r="H47" s="558"/>
      <c r="I47" s="558">
        <v>0</v>
      </c>
      <c r="J47" s="558"/>
      <c r="K47" s="559">
        <f t="shared" si="2"/>
        <v>0</v>
      </c>
    </row>
    <row r="48" spans="1:11" ht="16.5" thickBot="1">
      <c r="A48" s="560"/>
      <c r="B48" s="1074"/>
      <c r="C48" s="854"/>
      <c r="D48" s="855"/>
      <c r="E48" s="849" t="s">
        <v>205</v>
      </c>
      <c r="F48" s="564">
        <v>0</v>
      </c>
      <c r="G48" s="564"/>
      <c r="H48" s="564"/>
      <c r="I48" s="564">
        <v>0</v>
      </c>
      <c r="J48" s="564"/>
      <c r="K48" s="565">
        <f t="shared" si="2"/>
        <v>0</v>
      </c>
    </row>
    <row r="49" spans="1:13" s="126" customFormat="1" ht="18.75" customHeight="1">
      <c r="A49" s="547" t="s">
        <v>83</v>
      </c>
      <c r="B49" s="586" t="s">
        <v>753</v>
      </c>
      <c r="C49" s="856" t="s">
        <v>733</v>
      </c>
      <c r="D49" s="584" t="s">
        <v>734</v>
      </c>
      <c r="E49" s="551" t="s">
        <v>65</v>
      </c>
      <c r="F49" s="588">
        <f>F50+F51+F52+F53</f>
        <v>500</v>
      </c>
      <c r="G49" s="588">
        <f>G50+G51+G52+G53</f>
        <v>5.1</v>
      </c>
      <c r="H49" s="588">
        <f>H50+H51+H52+H53</f>
        <v>34.4</v>
      </c>
      <c r="I49" s="588">
        <f>I50+I51+I52+I53</f>
        <v>460.5</v>
      </c>
      <c r="J49" s="588">
        <f>J50+J51+J52+J53</f>
        <v>0</v>
      </c>
      <c r="K49" s="553">
        <f t="shared" si="2"/>
        <v>494.9</v>
      </c>
      <c r="M49" s="546"/>
    </row>
    <row r="50" spans="1:13" s="126" customFormat="1" ht="30" customHeight="1">
      <c r="A50" s="554"/>
      <c r="B50" s="555" t="s">
        <v>754</v>
      </c>
      <c r="C50" s="549"/>
      <c r="D50" s="556"/>
      <c r="E50" s="557" t="s">
        <v>67</v>
      </c>
      <c r="F50" s="558">
        <v>154.6</v>
      </c>
      <c r="G50" s="558">
        <v>5.1</v>
      </c>
      <c r="H50" s="857">
        <v>34.4</v>
      </c>
      <c r="I50" s="857">
        <v>115.1</v>
      </c>
      <c r="J50" s="589"/>
      <c r="K50" s="559">
        <f t="shared" si="2"/>
        <v>149.5</v>
      </c>
      <c r="M50" s="546"/>
    </row>
    <row r="51" spans="1:13" s="126" customFormat="1" ht="41.25" customHeight="1">
      <c r="A51" s="554"/>
      <c r="B51" s="555" t="s">
        <v>755</v>
      </c>
      <c r="C51" s="549"/>
      <c r="D51" s="556"/>
      <c r="E51" s="848" t="s">
        <v>68</v>
      </c>
      <c r="F51" s="558">
        <v>0</v>
      </c>
      <c r="G51" s="558"/>
      <c r="H51" s="589">
        <v>0</v>
      </c>
      <c r="I51" s="589">
        <v>0</v>
      </c>
      <c r="J51" s="589"/>
      <c r="K51" s="559">
        <f t="shared" si="2"/>
        <v>0</v>
      </c>
      <c r="M51" s="546"/>
    </row>
    <row r="52" spans="1:13" s="126" customFormat="1" ht="15.75">
      <c r="A52" s="554"/>
      <c r="B52" s="1067" t="s">
        <v>0</v>
      </c>
      <c r="C52" s="549"/>
      <c r="D52" s="556"/>
      <c r="E52" s="590" t="s">
        <v>179</v>
      </c>
      <c r="F52" s="558">
        <v>0</v>
      </c>
      <c r="G52" s="558"/>
      <c r="H52" s="589">
        <v>0</v>
      </c>
      <c r="I52" s="589">
        <v>0</v>
      </c>
      <c r="J52" s="589"/>
      <c r="K52" s="559">
        <f t="shared" si="2"/>
        <v>0</v>
      </c>
      <c r="M52" s="546"/>
    </row>
    <row r="53" spans="1:13" s="126" customFormat="1" ht="16.5" thickBot="1">
      <c r="A53" s="560"/>
      <c r="B53" s="1068"/>
      <c r="C53" s="561"/>
      <c r="D53" s="562"/>
      <c r="E53" s="563" t="s">
        <v>66</v>
      </c>
      <c r="F53" s="564">
        <v>345.4</v>
      </c>
      <c r="G53" s="564"/>
      <c r="H53" s="564">
        <v>0</v>
      </c>
      <c r="I53" s="564">
        <v>345.4</v>
      </c>
      <c r="J53" s="564"/>
      <c r="K53" s="565">
        <f t="shared" si="2"/>
        <v>345.4</v>
      </c>
      <c r="M53" s="546"/>
    </row>
    <row r="54" spans="1:13" s="126" customFormat="1" ht="18.75" customHeight="1" hidden="1" thickBot="1">
      <c r="A54" s="576"/>
      <c r="B54" s="840"/>
      <c r="C54" s="576"/>
      <c r="D54" s="858"/>
      <c r="E54" s="579"/>
      <c r="F54" s="580"/>
      <c r="G54" s="580"/>
      <c r="H54" s="580"/>
      <c r="I54" s="580"/>
      <c r="J54" s="580"/>
      <c r="K54" s="581"/>
      <c r="M54" s="546"/>
    </row>
    <row r="55" spans="1:13" s="126" customFormat="1" ht="18.75" customHeight="1">
      <c r="A55" s="570" t="s">
        <v>735</v>
      </c>
      <c r="B55" s="566" t="s">
        <v>272</v>
      </c>
      <c r="C55" s="592"/>
      <c r="D55" s="582" t="s">
        <v>277</v>
      </c>
      <c r="E55" s="573" t="s">
        <v>65</v>
      </c>
      <c r="F55" s="574">
        <f>F56+F57+F58+F59</f>
        <v>335</v>
      </c>
      <c r="G55" s="574">
        <f>G56+G57+G58+G59</f>
        <v>0</v>
      </c>
      <c r="H55" s="574">
        <f>H56+H57+H58+H59</f>
        <v>35</v>
      </c>
      <c r="I55" s="574">
        <f>I56+I57+I58+I59</f>
        <v>300</v>
      </c>
      <c r="J55" s="574">
        <f>J56+J57+J58+J59</f>
        <v>0</v>
      </c>
      <c r="K55" s="575">
        <f aca="true" t="shared" si="3" ref="K55:K79">H55+I55+J55</f>
        <v>335</v>
      </c>
      <c r="M55" s="546"/>
    </row>
    <row r="56" spans="1:13" s="126" customFormat="1" ht="18.75" customHeight="1">
      <c r="A56" s="554"/>
      <c r="B56" s="555" t="s">
        <v>274</v>
      </c>
      <c r="C56" s="549"/>
      <c r="D56" s="556"/>
      <c r="E56" s="557" t="s">
        <v>67</v>
      </c>
      <c r="F56" s="558">
        <v>110</v>
      </c>
      <c r="G56" s="558"/>
      <c r="H56" s="589">
        <v>35</v>
      </c>
      <c r="I56" s="589">
        <v>75</v>
      </c>
      <c r="J56" s="589"/>
      <c r="K56" s="559">
        <f t="shared" si="3"/>
        <v>110</v>
      </c>
      <c r="M56" s="546"/>
    </row>
    <row r="57" spans="1:13" s="126" customFormat="1" ht="18.75" customHeight="1">
      <c r="A57" s="554"/>
      <c r="B57" s="555" t="s">
        <v>165</v>
      </c>
      <c r="C57" s="549"/>
      <c r="D57" s="556"/>
      <c r="E57" s="557" t="s">
        <v>68</v>
      </c>
      <c r="F57" s="558">
        <v>0</v>
      </c>
      <c r="G57" s="558"/>
      <c r="H57" s="589">
        <v>0</v>
      </c>
      <c r="I57" s="589">
        <v>0</v>
      </c>
      <c r="J57" s="589"/>
      <c r="K57" s="559">
        <f t="shared" si="3"/>
        <v>0</v>
      </c>
      <c r="M57" s="546"/>
    </row>
    <row r="58" spans="1:13" s="126" customFormat="1" ht="15.75">
      <c r="A58" s="554"/>
      <c r="B58" s="1067" t="s">
        <v>1</v>
      </c>
      <c r="C58" s="549"/>
      <c r="D58" s="556"/>
      <c r="E58" s="590" t="s">
        <v>179</v>
      </c>
      <c r="F58" s="558">
        <v>0</v>
      </c>
      <c r="G58" s="558"/>
      <c r="H58" s="589">
        <v>0</v>
      </c>
      <c r="I58" s="589">
        <v>0</v>
      </c>
      <c r="J58" s="589"/>
      <c r="K58" s="559">
        <f t="shared" si="3"/>
        <v>0</v>
      </c>
      <c r="M58" s="546"/>
    </row>
    <row r="59" spans="1:13" s="126" customFormat="1" ht="16.5" thickBot="1">
      <c r="A59" s="560"/>
      <c r="B59" s="1068"/>
      <c r="C59" s="561"/>
      <c r="D59" s="562"/>
      <c r="E59" s="563" t="s">
        <v>205</v>
      </c>
      <c r="F59" s="564">
        <v>225</v>
      </c>
      <c r="G59" s="564"/>
      <c r="H59" s="564">
        <v>0</v>
      </c>
      <c r="I59" s="564">
        <v>225</v>
      </c>
      <c r="J59" s="564"/>
      <c r="K59" s="565">
        <f t="shared" si="3"/>
        <v>225</v>
      </c>
      <c r="M59" s="546"/>
    </row>
    <row r="60" spans="1:13" s="126" customFormat="1" ht="18.75" customHeight="1">
      <c r="A60" s="547" t="s">
        <v>736</v>
      </c>
      <c r="B60" s="586" t="s">
        <v>272</v>
      </c>
      <c r="C60" s="549"/>
      <c r="D60" s="584" t="s">
        <v>277</v>
      </c>
      <c r="E60" s="551" t="s">
        <v>65</v>
      </c>
      <c r="F60" s="588">
        <f>F61+F62+F63+F64</f>
        <v>300</v>
      </c>
      <c r="G60" s="588">
        <f>G61+G62+G63+G64</f>
        <v>0</v>
      </c>
      <c r="H60" s="588">
        <f>H61+H62+H63+H64</f>
        <v>0</v>
      </c>
      <c r="I60" s="588">
        <f>I61+I62+I63+I64</f>
        <v>0</v>
      </c>
      <c r="J60" s="588">
        <f>J61+J62+J63+J64</f>
        <v>300</v>
      </c>
      <c r="K60" s="553">
        <f t="shared" si="3"/>
        <v>300</v>
      </c>
      <c r="M60" s="546"/>
    </row>
    <row r="61" spans="1:13" s="126" customFormat="1" ht="18.75" customHeight="1">
      <c r="A61" s="554"/>
      <c r="B61" s="555" t="s">
        <v>274</v>
      </c>
      <c r="C61" s="549"/>
      <c r="D61" s="556"/>
      <c r="E61" s="557" t="s">
        <v>67</v>
      </c>
      <c r="F61" s="558">
        <v>60</v>
      </c>
      <c r="G61" s="558"/>
      <c r="H61" s="589"/>
      <c r="I61" s="589"/>
      <c r="J61" s="589">
        <v>60</v>
      </c>
      <c r="K61" s="559">
        <f t="shared" si="3"/>
        <v>60</v>
      </c>
      <c r="M61" s="546"/>
    </row>
    <row r="62" spans="1:13" s="126" customFormat="1" ht="18.75" customHeight="1">
      <c r="A62" s="554"/>
      <c r="B62" s="555" t="s">
        <v>165</v>
      </c>
      <c r="C62" s="549"/>
      <c r="D62" s="556"/>
      <c r="E62" s="557" t="s">
        <v>68</v>
      </c>
      <c r="F62" s="558">
        <v>0</v>
      </c>
      <c r="G62" s="558"/>
      <c r="H62" s="589"/>
      <c r="I62" s="589"/>
      <c r="J62" s="589">
        <v>240</v>
      </c>
      <c r="K62" s="559">
        <f t="shared" si="3"/>
        <v>240</v>
      </c>
      <c r="M62" s="546"/>
    </row>
    <row r="63" spans="1:13" s="126" customFormat="1" ht="15.75">
      <c r="A63" s="554"/>
      <c r="B63" s="1067" t="s">
        <v>2</v>
      </c>
      <c r="C63" s="549"/>
      <c r="D63" s="556"/>
      <c r="E63" s="590" t="s">
        <v>179</v>
      </c>
      <c r="F63" s="558">
        <v>240</v>
      </c>
      <c r="G63" s="558"/>
      <c r="H63" s="589"/>
      <c r="I63" s="589"/>
      <c r="J63" s="589">
        <v>0</v>
      </c>
      <c r="K63" s="559">
        <f t="shared" si="3"/>
        <v>0</v>
      </c>
      <c r="M63" s="546"/>
    </row>
    <row r="64" spans="1:13" s="126" customFormat="1" ht="16.5" thickBot="1">
      <c r="A64" s="560"/>
      <c r="B64" s="1068"/>
      <c r="C64" s="561"/>
      <c r="D64" s="562"/>
      <c r="E64" s="563" t="s">
        <v>205</v>
      </c>
      <c r="F64" s="564">
        <v>0</v>
      </c>
      <c r="G64" s="564"/>
      <c r="H64" s="564"/>
      <c r="I64" s="564"/>
      <c r="J64" s="564">
        <v>0</v>
      </c>
      <c r="K64" s="565">
        <f t="shared" si="3"/>
        <v>0</v>
      </c>
      <c r="M64" s="546"/>
    </row>
    <row r="65" spans="1:13" s="126" customFormat="1" ht="18.75" customHeight="1">
      <c r="A65" s="591" t="s">
        <v>737</v>
      </c>
      <c r="B65" s="586" t="s">
        <v>272</v>
      </c>
      <c r="C65" s="592"/>
      <c r="D65" s="584" t="s">
        <v>277</v>
      </c>
      <c r="E65" s="551" t="s">
        <v>65</v>
      </c>
      <c r="F65" s="574">
        <f>F66+F67+F68+F69</f>
        <v>466</v>
      </c>
      <c r="G65" s="574">
        <f>G66+G67+G68+G69</f>
        <v>51</v>
      </c>
      <c r="H65" s="574">
        <f>H66+H67+H68+H69</f>
        <v>0</v>
      </c>
      <c r="I65" s="574">
        <f>I66+I67+I68+I69</f>
        <v>85</v>
      </c>
      <c r="J65" s="574">
        <f>J66+J67+J68+J69</f>
        <v>85</v>
      </c>
      <c r="K65" s="575">
        <f t="shared" si="3"/>
        <v>170</v>
      </c>
      <c r="M65" s="546"/>
    </row>
    <row r="66" spans="1:13" s="126" customFormat="1" ht="18.75" customHeight="1">
      <c r="A66" s="554"/>
      <c r="B66" s="555" t="s">
        <v>274</v>
      </c>
      <c r="C66" s="549"/>
      <c r="D66" s="584"/>
      <c r="E66" s="557" t="s">
        <v>67</v>
      </c>
      <c r="F66" s="558">
        <v>197</v>
      </c>
      <c r="G66" s="558">
        <v>32</v>
      </c>
      <c r="H66" s="558"/>
      <c r="I66" s="558">
        <v>35</v>
      </c>
      <c r="J66" s="558">
        <v>35</v>
      </c>
      <c r="K66" s="559">
        <f t="shared" si="3"/>
        <v>70</v>
      </c>
      <c r="M66" s="546"/>
    </row>
    <row r="67" spans="1:13" s="126" customFormat="1" ht="18.75" customHeight="1">
      <c r="A67" s="554"/>
      <c r="B67" s="555" t="s">
        <v>165</v>
      </c>
      <c r="C67" s="549"/>
      <c r="D67" s="584"/>
      <c r="E67" s="557" t="s">
        <v>68</v>
      </c>
      <c r="F67" s="558">
        <v>19</v>
      </c>
      <c r="G67" s="558">
        <v>19</v>
      </c>
      <c r="H67" s="558"/>
      <c r="I67" s="558">
        <v>0</v>
      </c>
      <c r="J67" s="558">
        <v>0</v>
      </c>
      <c r="K67" s="559">
        <f t="shared" si="3"/>
        <v>0</v>
      </c>
      <c r="M67" s="546"/>
    </row>
    <row r="68" spans="1:13" s="126" customFormat="1" ht="15.75">
      <c r="A68" s="554"/>
      <c r="B68" s="1067" t="s">
        <v>3</v>
      </c>
      <c r="C68" s="549"/>
      <c r="D68" s="584"/>
      <c r="E68" s="590" t="s">
        <v>179</v>
      </c>
      <c r="F68" s="558">
        <v>250</v>
      </c>
      <c r="G68" s="558"/>
      <c r="H68" s="558"/>
      <c r="I68" s="558">
        <v>50</v>
      </c>
      <c r="J68" s="558">
        <v>50</v>
      </c>
      <c r="K68" s="559">
        <f t="shared" si="3"/>
        <v>100</v>
      </c>
      <c r="M68" s="546"/>
    </row>
    <row r="69" spans="1:13" s="126" customFormat="1" ht="16.5" thickBot="1">
      <c r="A69" s="560"/>
      <c r="B69" s="1068"/>
      <c r="C69" s="561"/>
      <c r="D69" s="585"/>
      <c r="E69" s="563" t="s">
        <v>205</v>
      </c>
      <c r="F69" s="564">
        <v>0</v>
      </c>
      <c r="G69" s="564"/>
      <c r="H69" s="564"/>
      <c r="I69" s="564">
        <v>0</v>
      </c>
      <c r="J69" s="564">
        <v>0</v>
      </c>
      <c r="K69" s="565">
        <f t="shared" si="3"/>
        <v>0</v>
      </c>
      <c r="M69" s="546"/>
    </row>
    <row r="70" spans="1:13" s="126" customFormat="1" ht="18.75" customHeight="1">
      <c r="A70" s="591" t="s">
        <v>738</v>
      </c>
      <c r="B70" s="571" t="s">
        <v>4</v>
      </c>
      <c r="C70" s="549">
        <v>57</v>
      </c>
      <c r="D70" s="584" t="s">
        <v>739</v>
      </c>
      <c r="E70" s="551" t="s">
        <v>65</v>
      </c>
      <c r="F70" s="859">
        <f>F71+F72+F73+F74</f>
        <v>10000</v>
      </c>
      <c r="G70" s="574">
        <f>G71+G72+G73+G74</f>
        <v>0</v>
      </c>
      <c r="H70" s="574">
        <f>H71+H72+H73+H74</f>
        <v>0</v>
      </c>
      <c r="I70" s="859">
        <f>I71+I72+I73+I74</f>
        <v>2000</v>
      </c>
      <c r="J70" s="859">
        <f>J71+J72+J73+J74</f>
        <v>2000</v>
      </c>
      <c r="K70" s="575">
        <f t="shared" si="3"/>
        <v>4000</v>
      </c>
      <c r="M70" s="546"/>
    </row>
    <row r="71" spans="1:13" s="126" customFormat="1" ht="40.5" customHeight="1">
      <c r="A71" s="554"/>
      <c r="B71" s="828" t="s">
        <v>5</v>
      </c>
      <c r="C71" s="549"/>
      <c r="D71" s="584"/>
      <c r="E71" s="557" t="s">
        <v>67</v>
      </c>
      <c r="F71" s="558">
        <v>500</v>
      </c>
      <c r="G71" s="558"/>
      <c r="H71" s="558"/>
      <c r="I71" s="558">
        <v>100</v>
      </c>
      <c r="J71" s="558">
        <v>100</v>
      </c>
      <c r="K71" s="559">
        <f t="shared" si="3"/>
        <v>200</v>
      </c>
      <c r="M71" s="546"/>
    </row>
    <row r="72" spans="1:13" s="126" customFormat="1" ht="18.75" customHeight="1">
      <c r="A72" s="554"/>
      <c r="B72" s="828" t="s">
        <v>6</v>
      </c>
      <c r="C72" s="549"/>
      <c r="D72" s="584"/>
      <c r="E72" s="557" t="s">
        <v>68</v>
      </c>
      <c r="F72" s="558">
        <v>0</v>
      </c>
      <c r="G72" s="558"/>
      <c r="H72" s="558"/>
      <c r="I72" s="558">
        <v>0</v>
      </c>
      <c r="J72" s="558">
        <v>0</v>
      </c>
      <c r="K72" s="559">
        <f t="shared" si="3"/>
        <v>0</v>
      </c>
      <c r="M72" s="546"/>
    </row>
    <row r="73" spans="1:13" s="126" customFormat="1" ht="15.75">
      <c r="A73" s="554"/>
      <c r="B73" s="1070" t="s">
        <v>7</v>
      </c>
      <c r="C73" s="549"/>
      <c r="D73" s="584"/>
      <c r="E73" s="590" t="s">
        <v>179</v>
      </c>
      <c r="F73" s="558">
        <v>9500</v>
      </c>
      <c r="G73" s="558"/>
      <c r="H73" s="558"/>
      <c r="I73" s="558">
        <v>1900</v>
      </c>
      <c r="J73" s="558">
        <v>1900</v>
      </c>
      <c r="K73" s="559">
        <f t="shared" si="3"/>
        <v>3800</v>
      </c>
      <c r="M73" s="546"/>
    </row>
    <row r="74" spans="1:13" s="126" customFormat="1" ht="16.5" thickBot="1">
      <c r="A74" s="560"/>
      <c r="B74" s="1071"/>
      <c r="C74" s="549"/>
      <c r="D74" s="584"/>
      <c r="E74" s="563" t="s">
        <v>205</v>
      </c>
      <c r="F74" s="564">
        <v>0</v>
      </c>
      <c r="G74" s="564"/>
      <c r="H74" s="564"/>
      <c r="I74" s="564">
        <v>0</v>
      </c>
      <c r="J74" s="564">
        <v>0</v>
      </c>
      <c r="K74" s="565">
        <f t="shared" si="3"/>
        <v>0</v>
      </c>
      <c r="M74" s="546"/>
    </row>
    <row r="75" spans="1:13" s="126" customFormat="1" ht="18.75" customHeight="1">
      <c r="A75" s="591" t="s">
        <v>740</v>
      </c>
      <c r="B75" s="571" t="s">
        <v>4</v>
      </c>
      <c r="C75" s="860">
        <v>41</v>
      </c>
      <c r="D75" s="861" t="s">
        <v>279</v>
      </c>
      <c r="E75" s="825" t="s">
        <v>65</v>
      </c>
      <c r="F75" s="862">
        <f>F76+F77+F78+F79</f>
        <v>901</v>
      </c>
      <c r="G75" s="862">
        <f>G76+G77+G78+G79</f>
        <v>155</v>
      </c>
      <c r="H75" s="862">
        <f>H76+H77+H78+H79</f>
        <v>148.5</v>
      </c>
      <c r="I75" s="862">
        <f>I76+I77+I78+I79</f>
        <v>600</v>
      </c>
      <c r="J75" s="862">
        <f>J76+J77+J78+J79</f>
        <v>0</v>
      </c>
      <c r="K75" s="827">
        <f t="shared" si="3"/>
        <v>748.5</v>
      </c>
      <c r="M75" s="546"/>
    </row>
    <row r="76" spans="1:13" s="126" customFormat="1" ht="37.5" customHeight="1">
      <c r="A76" s="863"/>
      <c r="B76" s="828" t="s">
        <v>8</v>
      </c>
      <c r="C76" s="864"/>
      <c r="D76" s="865"/>
      <c r="E76" s="831" t="s">
        <v>164</v>
      </c>
      <c r="F76" s="832">
        <v>2.5</v>
      </c>
      <c r="G76" s="832">
        <v>2.5</v>
      </c>
      <c r="H76" s="832">
        <v>0</v>
      </c>
      <c r="I76" s="832">
        <v>0</v>
      </c>
      <c r="J76" s="832"/>
      <c r="K76" s="833">
        <f t="shared" si="3"/>
        <v>0</v>
      </c>
      <c r="M76" s="546"/>
    </row>
    <row r="77" spans="1:13" s="126" customFormat="1" ht="18.75" customHeight="1">
      <c r="A77" s="863"/>
      <c r="B77" s="828" t="s">
        <v>9</v>
      </c>
      <c r="C77" s="864"/>
      <c r="D77" s="865"/>
      <c r="E77" s="831" t="s">
        <v>68</v>
      </c>
      <c r="F77" s="832">
        <v>0</v>
      </c>
      <c r="G77" s="832">
        <v>0</v>
      </c>
      <c r="H77" s="832">
        <v>0</v>
      </c>
      <c r="I77" s="832">
        <v>0</v>
      </c>
      <c r="J77" s="832"/>
      <c r="K77" s="833">
        <f t="shared" si="3"/>
        <v>0</v>
      </c>
      <c r="M77" s="546"/>
    </row>
    <row r="78" spans="1:13" s="126" customFormat="1" ht="18.75" customHeight="1">
      <c r="A78" s="863"/>
      <c r="B78" s="1070" t="s">
        <v>10</v>
      </c>
      <c r="C78" s="864"/>
      <c r="D78" s="865"/>
      <c r="E78" s="831" t="s">
        <v>63</v>
      </c>
      <c r="F78" s="832">
        <v>298.5</v>
      </c>
      <c r="G78" s="832">
        <v>152.5</v>
      </c>
      <c r="H78" s="832">
        <v>148.5</v>
      </c>
      <c r="I78" s="832">
        <v>0</v>
      </c>
      <c r="J78" s="832"/>
      <c r="K78" s="833">
        <f t="shared" si="3"/>
        <v>148.5</v>
      </c>
      <c r="M78" s="546"/>
    </row>
    <row r="79" spans="1:13" s="126" customFormat="1" ht="18.75" customHeight="1" thickBot="1">
      <c r="A79" s="866"/>
      <c r="B79" s="1071"/>
      <c r="C79" s="867"/>
      <c r="D79" s="868"/>
      <c r="E79" s="837" t="s">
        <v>66</v>
      </c>
      <c r="F79" s="838">
        <v>600</v>
      </c>
      <c r="G79" s="838">
        <v>0</v>
      </c>
      <c r="H79" s="838">
        <v>0</v>
      </c>
      <c r="I79" s="838">
        <v>600</v>
      </c>
      <c r="J79" s="838"/>
      <c r="K79" s="839">
        <f t="shared" si="3"/>
        <v>600</v>
      </c>
      <c r="M79" s="546"/>
    </row>
    <row r="80" spans="1:13" s="126" customFormat="1" ht="22.5" customHeight="1" thickBot="1">
      <c r="A80" s="218"/>
      <c r="B80" s="219"/>
      <c r="C80" s="219"/>
      <c r="D80" s="219"/>
      <c r="E80" s="224" t="s">
        <v>69</v>
      </c>
      <c r="F80" s="223">
        <f aca="true" t="shared" si="4" ref="F80:K80">F34+F49+F44+F55+F65+F70+F75+F60+F39+F29+F23+F18+F13+F8</f>
        <v>32262.800000000003</v>
      </c>
      <c r="G80" s="223">
        <f t="shared" si="4"/>
        <v>386.90000000000003</v>
      </c>
      <c r="H80" s="223">
        <f t="shared" si="4"/>
        <v>2181.3</v>
      </c>
      <c r="I80" s="223">
        <f t="shared" si="4"/>
        <v>11219.5</v>
      </c>
      <c r="J80" s="223">
        <f t="shared" si="4"/>
        <v>10885</v>
      </c>
      <c r="K80" s="869">
        <f t="shared" si="4"/>
        <v>24285.8</v>
      </c>
      <c r="M80" s="546"/>
    </row>
    <row r="81" spans="2:11" ht="12.75">
      <c r="B81" s="594" t="s">
        <v>265</v>
      </c>
      <c r="C81" s="112"/>
      <c r="D81" s="112"/>
      <c r="E81" s="112"/>
      <c r="F81" s="112"/>
      <c r="G81" s="112"/>
      <c r="H81" s="112"/>
      <c r="I81" s="112"/>
      <c r="J81" s="112"/>
      <c r="K81" s="112"/>
    </row>
    <row r="82" spans="2:11" ht="2.25" customHeight="1">
      <c r="B82" s="1072" t="s">
        <v>431</v>
      </c>
      <c r="C82" s="1072"/>
      <c r="D82" s="1072"/>
      <c r="E82" s="1072"/>
      <c r="F82" s="1072"/>
      <c r="G82" s="1072"/>
      <c r="H82" s="1072"/>
      <c r="I82" s="1072"/>
      <c r="J82" s="1072"/>
      <c r="K82" s="1072"/>
    </row>
    <row r="83" spans="2:11" ht="12.75">
      <c r="B83" s="1072"/>
      <c r="C83" s="1072"/>
      <c r="D83" s="1072"/>
      <c r="E83" s="1072"/>
      <c r="F83" s="1072"/>
      <c r="G83" s="1072"/>
      <c r="H83" s="1072"/>
      <c r="I83" s="1072"/>
      <c r="J83" s="1072"/>
      <c r="K83" s="1072"/>
    </row>
    <row r="84" spans="2:11" ht="12.75">
      <c r="B84" s="1072"/>
      <c r="C84" s="1072"/>
      <c r="D84" s="1072"/>
      <c r="E84" s="1072"/>
      <c r="F84" s="1072"/>
      <c r="G84" s="1072"/>
      <c r="H84" s="1072"/>
      <c r="I84" s="1072"/>
      <c r="J84" s="1072"/>
      <c r="K84" s="1072"/>
    </row>
    <row r="85" spans="2:11" ht="12.75">
      <c r="B85" s="112"/>
      <c r="C85" s="112"/>
      <c r="D85" s="112"/>
      <c r="E85" s="112"/>
      <c r="F85" s="112"/>
      <c r="G85" s="112"/>
      <c r="H85" s="112"/>
      <c r="I85" s="112"/>
      <c r="J85" s="112"/>
      <c r="K85" s="112"/>
    </row>
    <row r="86" spans="2:11" ht="12.75">
      <c r="B86" s="112"/>
      <c r="C86" s="112"/>
      <c r="D86" s="112"/>
      <c r="E86" s="112"/>
      <c r="F86" s="112"/>
      <c r="G86" s="112"/>
      <c r="H86" s="112"/>
      <c r="I86" s="112"/>
      <c r="J86" s="112"/>
      <c r="K86" s="112"/>
    </row>
    <row r="87" spans="2:11" ht="12.75">
      <c r="B87" s="112"/>
      <c r="C87" s="112"/>
      <c r="D87" s="112"/>
      <c r="E87" s="112"/>
      <c r="F87" s="112"/>
      <c r="G87" s="112"/>
      <c r="H87" s="112"/>
      <c r="I87" s="112"/>
      <c r="J87" s="112"/>
      <c r="K87" s="112"/>
    </row>
    <row r="88" spans="2:11" ht="12.75">
      <c r="B88" s="112"/>
      <c r="C88" s="112"/>
      <c r="D88" s="112"/>
      <c r="E88" s="112"/>
      <c r="F88" s="112"/>
      <c r="G88" s="112"/>
      <c r="H88" s="112"/>
      <c r="I88" s="112"/>
      <c r="J88" s="112"/>
      <c r="K88" s="112"/>
    </row>
    <row r="89" spans="2:11" ht="12.75">
      <c r="B89" s="112"/>
      <c r="C89" s="112"/>
      <c r="D89" s="112"/>
      <c r="E89" s="112"/>
      <c r="F89" s="112"/>
      <c r="G89" s="112"/>
      <c r="H89" s="112"/>
      <c r="I89" s="112"/>
      <c r="J89" s="112"/>
      <c r="K89" s="112"/>
    </row>
    <row r="90" spans="2:11" ht="12.75">
      <c r="B90" s="112"/>
      <c r="C90" s="112"/>
      <c r="D90" s="112"/>
      <c r="E90" s="112"/>
      <c r="F90" s="112"/>
      <c r="G90" s="112"/>
      <c r="H90" s="112"/>
      <c r="I90" s="112"/>
      <c r="J90" s="112"/>
      <c r="K90" s="112"/>
    </row>
    <row r="91" spans="2:11" ht="12.75">
      <c r="B91" s="112"/>
      <c r="C91" s="112"/>
      <c r="D91" s="112"/>
      <c r="E91" s="112"/>
      <c r="F91" s="112"/>
      <c r="G91" s="112"/>
      <c r="H91" s="112"/>
      <c r="I91" s="112"/>
      <c r="J91" s="112"/>
      <c r="K91" s="112"/>
    </row>
    <row r="92" spans="2:11" ht="12.75">
      <c r="B92" s="112"/>
      <c r="C92" s="112"/>
      <c r="D92" s="112"/>
      <c r="E92" s="112"/>
      <c r="F92" s="112"/>
      <c r="G92" s="112"/>
      <c r="H92" s="112"/>
      <c r="I92" s="112"/>
      <c r="J92" s="112"/>
      <c r="K92" s="112"/>
    </row>
    <row r="93" spans="2:11" ht="12.75">
      <c r="B93" s="112"/>
      <c r="C93" s="112"/>
      <c r="D93" s="112"/>
      <c r="E93" s="112"/>
      <c r="F93" s="112"/>
      <c r="G93" s="112"/>
      <c r="H93" s="112"/>
      <c r="I93" s="112"/>
      <c r="J93" s="112"/>
      <c r="K93" s="112"/>
    </row>
    <row r="94" spans="2:11" ht="12.75">
      <c r="B94" s="112"/>
      <c r="C94" s="112"/>
      <c r="D94" s="112"/>
      <c r="E94" s="112"/>
      <c r="F94" s="112"/>
      <c r="G94" s="112"/>
      <c r="H94" s="112"/>
      <c r="I94" s="112"/>
      <c r="J94" s="112"/>
      <c r="K94" s="112"/>
    </row>
    <row r="95" spans="2:11" ht="12.75">
      <c r="B95" s="112"/>
      <c r="C95" s="112"/>
      <c r="D95" s="112"/>
      <c r="E95" s="112"/>
      <c r="F95" s="112"/>
      <c r="G95" s="112"/>
      <c r="H95" s="112"/>
      <c r="I95" s="112"/>
      <c r="J95" s="112"/>
      <c r="K95" s="112"/>
    </row>
    <row r="96" spans="2:11" ht="12.75">
      <c r="B96" s="112"/>
      <c r="C96" s="112"/>
      <c r="D96" s="112"/>
      <c r="E96" s="112"/>
      <c r="F96" s="112"/>
      <c r="G96" s="112"/>
      <c r="H96" s="112"/>
      <c r="I96" s="112"/>
      <c r="J96" s="112"/>
      <c r="K96" s="112"/>
    </row>
    <row r="97" spans="2:11" ht="12.75">
      <c r="B97" s="112"/>
      <c r="C97" s="112"/>
      <c r="D97" s="112"/>
      <c r="E97" s="112"/>
      <c r="F97" s="112"/>
      <c r="G97" s="112"/>
      <c r="H97" s="112"/>
      <c r="I97" s="112"/>
      <c r="J97" s="112"/>
      <c r="K97" s="112"/>
    </row>
    <row r="98" spans="2:11" ht="12.75">
      <c r="B98" s="112"/>
      <c r="C98" s="112"/>
      <c r="D98" s="112"/>
      <c r="E98" s="112"/>
      <c r="F98" s="112"/>
      <c r="G98" s="112"/>
      <c r="H98" s="112"/>
      <c r="I98" s="112"/>
      <c r="J98" s="112"/>
      <c r="K98" s="112"/>
    </row>
    <row r="99" spans="2:11" ht="12.75">
      <c r="B99" s="112"/>
      <c r="C99" s="112"/>
      <c r="D99" s="112"/>
      <c r="E99" s="112"/>
      <c r="F99" s="112"/>
      <c r="G99" s="112"/>
      <c r="H99" s="112"/>
      <c r="I99" s="112"/>
      <c r="J99" s="112"/>
      <c r="K99" s="112"/>
    </row>
    <row r="100" spans="2:11" ht="12.75"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</row>
    <row r="101" spans="2:11" ht="12.75"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</row>
    <row r="102" spans="2:11" ht="12.75"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</row>
    <row r="103" spans="1:13" s="112" customFormat="1" ht="12.75">
      <c r="A103" s="870"/>
      <c r="M103" s="851"/>
    </row>
    <row r="104" spans="1:13" s="112" customFormat="1" ht="12.75">
      <c r="A104" s="870"/>
      <c r="M104" s="851"/>
    </row>
    <row r="105" spans="1:13" s="112" customFormat="1" ht="12.75">
      <c r="A105" s="870"/>
      <c r="M105" s="851"/>
    </row>
    <row r="106" spans="1:13" s="112" customFormat="1" ht="12.75">
      <c r="A106" s="870"/>
      <c r="M106" s="851"/>
    </row>
    <row r="107" spans="1:13" s="112" customFormat="1" ht="12.75">
      <c r="A107" s="870"/>
      <c r="M107" s="851"/>
    </row>
    <row r="108" spans="1:13" s="112" customFormat="1" ht="12.75">
      <c r="A108" s="870"/>
      <c r="M108" s="851"/>
    </row>
    <row r="109" spans="1:13" s="112" customFormat="1" ht="12.75">
      <c r="A109" s="870"/>
      <c r="M109" s="851"/>
    </row>
    <row r="110" spans="1:13" s="112" customFormat="1" ht="12.75">
      <c r="A110" s="870"/>
      <c r="M110" s="851"/>
    </row>
    <row r="111" spans="1:13" s="112" customFormat="1" ht="12.75">
      <c r="A111" s="870"/>
      <c r="M111" s="851"/>
    </row>
    <row r="112" spans="1:13" s="112" customFormat="1" ht="12.75">
      <c r="A112" s="870"/>
      <c r="M112" s="851"/>
    </row>
    <row r="113" spans="1:13" s="112" customFormat="1" ht="12.75">
      <c r="A113" s="870"/>
      <c r="M113" s="851"/>
    </row>
    <row r="114" spans="1:13" s="112" customFormat="1" ht="12.75">
      <c r="A114" s="870"/>
      <c r="M114" s="851"/>
    </row>
    <row r="115" spans="1:13" s="112" customFormat="1" ht="12.75">
      <c r="A115" s="870"/>
      <c r="M115" s="851"/>
    </row>
    <row r="116" spans="1:13" s="112" customFormat="1" ht="12.75">
      <c r="A116" s="870"/>
      <c r="M116" s="851"/>
    </row>
    <row r="117" spans="1:13" s="112" customFormat="1" ht="12.75">
      <c r="A117" s="870"/>
      <c r="M117" s="851"/>
    </row>
    <row r="118" spans="1:13" s="112" customFormat="1" ht="12.75">
      <c r="A118" s="870"/>
      <c r="M118" s="851"/>
    </row>
    <row r="119" spans="1:13" s="112" customFormat="1" ht="12.75">
      <c r="A119" s="870"/>
      <c r="M119" s="851"/>
    </row>
    <row r="120" spans="1:13" s="112" customFormat="1" ht="12.75">
      <c r="A120" s="870"/>
      <c r="M120" s="851"/>
    </row>
    <row r="121" spans="1:13" s="112" customFormat="1" ht="12.75">
      <c r="A121" s="870"/>
      <c r="M121" s="851"/>
    </row>
    <row r="122" spans="1:13" s="112" customFormat="1" ht="12.75">
      <c r="A122" s="870"/>
      <c r="M122" s="851"/>
    </row>
    <row r="123" spans="1:13" s="112" customFormat="1" ht="12.75">
      <c r="A123" s="870"/>
      <c r="M123" s="851"/>
    </row>
    <row r="124" spans="1:13" s="112" customFormat="1" ht="12.75">
      <c r="A124" s="870"/>
      <c r="M124" s="851"/>
    </row>
    <row r="125" spans="1:13" s="112" customFormat="1" ht="12.75">
      <c r="A125" s="870"/>
      <c r="M125" s="851"/>
    </row>
    <row r="126" spans="1:13" s="112" customFormat="1" ht="12.75">
      <c r="A126" s="870"/>
      <c r="M126" s="851"/>
    </row>
  </sheetData>
  <mergeCells count="25">
    <mergeCell ref="B32:B33"/>
    <mergeCell ref="B73:B74"/>
    <mergeCell ref="B37:B38"/>
    <mergeCell ref="B47:B48"/>
    <mergeCell ref="B58:B59"/>
    <mergeCell ref="B68:B69"/>
    <mergeCell ref="B42:B43"/>
    <mergeCell ref="B82:K84"/>
    <mergeCell ref="B52:B53"/>
    <mergeCell ref="B63:B64"/>
    <mergeCell ref="B78:B79"/>
    <mergeCell ref="B11:B12"/>
    <mergeCell ref="B16:B17"/>
    <mergeCell ref="B21:B22"/>
    <mergeCell ref="B26:B27"/>
    <mergeCell ref="G4:G5"/>
    <mergeCell ref="H3:K4"/>
    <mergeCell ref="A1:K1"/>
    <mergeCell ref="A3:A5"/>
    <mergeCell ref="B3:B5"/>
    <mergeCell ref="C3:C5"/>
    <mergeCell ref="D3:D5"/>
    <mergeCell ref="E4:E5"/>
    <mergeCell ref="F4:F5"/>
    <mergeCell ref="E3:G3"/>
  </mergeCells>
  <printOptions horizontalCentered="1"/>
  <pageMargins left="0.1968503937007874" right="0.15748031496062992" top="0.88" bottom="0.4724409448818898" header="0.46" footer="0.2362204724409449"/>
  <pageSetup horizontalDpi="600" verticalDpi="600" orientation="landscape" paperSize="9" scale="80" r:id="rId1"/>
  <headerFooter alignWithMargins="0">
    <oddHeader>&amp;R&amp;"Arial CE,Pogrubiony"Załącznik Nr &amp;A&amp;"Arial CE,Standardowy"
&amp;9do Uchwały Rady Gminy Miłkowice Nr XXXV/181/2009
z dnia 30 stycznia 2009 roku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showGridLines="0" workbookViewId="0" topLeftCell="A16">
      <selection activeCell="H35" sqref="H35"/>
    </sheetView>
  </sheetViews>
  <sheetFormatPr defaultColWidth="9.00390625" defaultRowHeight="12.75"/>
  <cols>
    <col min="1" max="1" width="4.75390625" style="1" bestFit="1" customWidth="1"/>
    <col min="2" max="2" width="25.375" style="1" customWidth="1"/>
    <col min="3" max="3" width="12.00390625" style="1" customWidth="1"/>
    <col min="4" max="4" width="3.875" style="1" customWidth="1"/>
    <col min="5" max="5" width="14.375" style="1" customWidth="1"/>
    <col min="6" max="6" width="14.00390625" style="1" customWidth="1"/>
    <col min="7" max="7" width="14.375" style="1" customWidth="1"/>
    <col min="8" max="8" width="12.00390625" style="1" customWidth="1"/>
    <col min="9" max="16384" width="9.125" style="1" customWidth="1"/>
  </cols>
  <sheetData>
    <row r="1" spans="1:7" ht="20.25" customHeight="1">
      <c r="A1" s="1107" t="s">
        <v>206</v>
      </c>
      <c r="B1" s="1107"/>
      <c r="C1" s="1107"/>
      <c r="D1" s="1107"/>
      <c r="E1" s="1107"/>
      <c r="F1" s="1107"/>
      <c r="G1" s="1107"/>
    </row>
    <row r="2" spans="2:7" ht="27" customHeight="1">
      <c r="B2" s="1112" t="s">
        <v>207</v>
      </c>
      <c r="C2" s="1112"/>
      <c r="D2" s="1112"/>
      <c r="E2" s="1112"/>
      <c r="F2" s="1112"/>
      <c r="G2" s="238"/>
    </row>
    <row r="3" spans="1:7" ht="18" customHeight="1">
      <c r="A3" s="229"/>
      <c r="B3" s="229"/>
      <c r="C3" s="229"/>
      <c r="D3" s="229"/>
      <c r="E3" s="229"/>
      <c r="F3" s="229"/>
      <c r="G3" s="229"/>
    </row>
    <row r="4" spans="1:7" ht="18" customHeight="1">
      <c r="A4" s="1087" t="s">
        <v>208</v>
      </c>
      <c r="B4" s="1087"/>
      <c r="C4" s="230"/>
      <c r="D4" s="230"/>
      <c r="E4" s="230"/>
      <c r="F4" s="288">
        <f>1!E110</f>
        <v>16017077</v>
      </c>
      <c r="G4" s="289" t="s">
        <v>60</v>
      </c>
    </row>
    <row r="5" spans="1:7" ht="18" customHeight="1">
      <c r="A5" s="1087" t="s">
        <v>209</v>
      </c>
      <c r="B5" s="1087"/>
      <c r="C5" s="230"/>
      <c r="D5" s="230"/>
      <c r="E5" s="230"/>
      <c r="F5" s="288">
        <f>G33</f>
        <v>19031506</v>
      </c>
      <c r="G5" s="289" t="s">
        <v>60</v>
      </c>
    </row>
    <row r="6" spans="1:7" ht="18" customHeight="1">
      <c r="A6" s="1087" t="s">
        <v>210</v>
      </c>
      <c r="B6" s="1087"/>
      <c r="C6" s="1087"/>
      <c r="D6" s="230"/>
      <c r="E6" s="230"/>
      <c r="F6" s="290">
        <f>F4-F5</f>
        <v>-3014429</v>
      </c>
      <c r="G6" s="289" t="s">
        <v>60</v>
      </c>
    </row>
    <row r="7" ht="14.25" customHeight="1">
      <c r="A7" s="15"/>
    </row>
    <row r="8" spans="1:7" ht="14.25" customHeight="1">
      <c r="A8" s="1106" t="s">
        <v>211</v>
      </c>
      <c r="B8" s="1106"/>
      <c r="C8" s="1106"/>
      <c r="D8" s="1106"/>
      <c r="E8" s="1106"/>
      <c r="F8" s="1106"/>
      <c r="G8" s="1106"/>
    </row>
    <row r="9" ht="8.25" customHeight="1">
      <c r="G9" s="9"/>
    </row>
    <row r="10" spans="1:7" ht="9.75" customHeight="1">
      <c r="A10" s="1108" t="s">
        <v>335</v>
      </c>
      <c r="B10" s="1097" t="s">
        <v>288</v>
      </c>
      <c r="C10" s="1098"/>
      <c r="D10" s="1098"/>
      <c r="E10" s="1099"/>
      <c r="F10" s="1109" t="s">
        <v>287</v>
      </c>
      <c r="G10" s="1109" t="s">
        <v>212</v>
      </c>
    </row>
    <row r="11" spans="1:7" ht="9.75" customHeight="1">
      <c r="A11" s="1108"/>
      <c r="B11" s="1100"/>
      <c r="C11" s="1101"/>
      <c r="D11" s="1101"/>
      <c r="E11" s="1102"/>
      <c r="F11" s="1110"/>
      <c r="G11" s="1110"/>
    </row>
    <row r="12" spans="1:7" ht="9.75" customHeight="1">
      <c r="A12" s="1108"/>
      <c r="B12" s="1103"/>
      <c r="C12" s="1104"/>
      <c r="D12" s="1104"/>
      <c r="E12" s="1105"/>
      <c r="F12" s="1111"/>
      <c r="G12" s="1111"/>
    </row>
    <row r="13" spans="1:7" s="45" customFormat="1" ht="6.75" customHeight="1">
      <c r="A13" s="44">
        <v>1</v>
      </c>
      <c r="B13" s="1081">
        <v>2</v>
      </c>
      <c r="C13" s="1082"/>
      <c r="D13" s="1082"/>
      <c r="E13" s="1083"/>
      <c r="F13" s="44">
        <v>3</v>
      </c>
      <c r="G13" s="44">
        <v>4</v>
      </c>
    </row>
    <row r="14" spans="1:7" ht="18.75" customHeight="1">
      <c r="A14" s="1091" t="s">
        <v>305</v>
      </c>
      <c r="B14" s="1092"/>
      <c r="C14" s="1092"/>
      <c r="D14" s="1092"/>
      <c r="E14" s="1093"/>
      <c r="F14" s="22"/>
      <c r="G14" s="89">
        <f>SUM(G15:G22)</f>
        <v>3862149</v>
      </c>
    </row>
    <row r="15" spans="1:7" ht="18.75" customHeight="1">
      <c r="A15" s="23" t="s">
        <v>293</v>
      </c>
      <c r="B15" s="1084" t="s">
        <v>300</v>
      </c>
      <c r="C15" s="1085"/>
      <c r="D15" s="1085"/>
      <c r="E15" s="1086"/>
      <c r="F15" s="23" t="s">
        <v>306</v>
      </c>
      <c r="G15" s="86">
        <f>64000+97000</f>
        <v>161000</v>
      </c>
    </row>
    <row r="16" spans="1:8" ht="18.75" customHeight="1">
      <c r="A16" s="24" t="s">
        <v>294</v>
      </c>
      <c r="B16" s="1075" t="s">
        <v>301</v>
      </c>
      <c r="C16" s="1076"/>
      <c r="D16" s="1076"/>
      <c r="E16" s="1077"/>
      <c r="F16" s="24" t="s">
        <v>306</v>
      </c>
      <c r="G16" s="87">
        <f>450000+85400</f>
        <v>535400</v>
      </c>
      <c r="H16" s="67"/>
    </row>
    <row r="17" spans="1:8" ht="27" customHeight="1">
      <c r="A17" s="24" t="s">
        <v>295</v>
      </c>
      <c r="B17" s="1078" t="s">
        <v>358</v>
      </c>
      <c r="C17" s="1079"/>
      <c r="D17" s="1079"/>
      <c r="E17" s="1080"/>
      <c r="F17" s="24" t="s">
        <v>327</v>
      </c>
      <c r="G17" s="87"/>
      <c r="H17" s="67"/>
    </row>
    <row r="18" spans="1:7" ht="18.75" customHeight="1">
      <c r="A18" s="24" t="s">
        <v>284</v>
      </c>
      <c r="B18" s="1075" t="s">
        <v>308</v>
      </c>
      <c r="C18" s="1076"/>
      <c r="D18" s="1076"/>
      <c r="E18" s="1077"/>
      <c r="F18" s="24" t="s">
        <v>328</v>
      </c>
      <c r="G18" s="87"/>
    </row>
    <row r="19" spans="1:7" ht="18.75" customHeight="1">
      <c r="A19" s="24" t="s">
        <v>299</v>
      </c>
      <c r="B19" s="1075" t="s">
        <v>359</v>
      </c>
      <c r="C19" s="1076"/>
      <c r="D19" s="1076"/>
      <c r="E19" s="1077"/>
      <c r="F19" s="24" t="s">
        <v>453</v>
      </c>
      <c r="G19" s="87"/>
    </row>
    <row r="20" spans="1:7" ht="18.75" customHeight="1">
      <c r="A20" s="24" t="s">
        <v>302</v>
      </c>
      <c r="B20" s="1075" t="s">
        <v>303</v>
      </c>
      <c r="C20" s="1076"/>
      <c r="D20" s="1076"/>
      <c r="E20" s="1077"/>
      <c r="F20" s="24" t="s">
        <v>307</v>
      </c>
      <c r="G20" s="87"/>
    </row>
    <row r="21" spans="1:8" ht="18.75" customHeight="1">
      <c r="A21" s="24" t="s">
        <v>304</v>
      </c>
      <c r="B21" s="1075" t="s">
        <v>455</v>
      </c>
      <c r="C21" s="1076"/>
      <c r="D21" s="1076"/>
      <c r="E21" s="1077"/>
      <c r="F21" s="24" t="s">
        <v>338</v>
      </c>
      <c r="G21" s="87">
        <v>1000000</v>
      </c>
      <c r="H21" s="67">
        <f>G21+G16+G15</f>
        <v>1696400</v>
      </c>
    </row>
    <row r="22" spans="1:7" ht="18.75" customHeight="1">
      <c r="A22" s="24" t="s">
        <v>310</v>
      </c>
      <c r="B22" s="1088" t="s">
        <v>326</v>
      </c>
      <c r="C22" s="1089"/>
      <c r="D22" s="1089"/>
      <c r="E22" s="1090"/>
      <c r="F22" s="26" t="s">
        <v>309</v>
      </c>
      <c r="G22" s="88">
        <f>1000000+600000+277749+288000</f>
        <v>2165749</v>
      </c>
    </row>
    <row r="23" spans="1:8" ht="18.75" customHeight="1">
      <c r="A23" s="1091" t="s">
        <v>360</v>
      </c>
      <c r="B23" s="1092"/>
      <c r="C23" s="1092"/>
      <c r="D23" s="1092"/>
      <c r="E23" s="1093"/>
      <c r="F23" s="22"/>
      <c r="G23" s="89">
        <f>SUM(G24:G30)</f>
        <v>847720</v>
      </c>
      <c r="H23" s="67"/>
    </row>
    <row r="24" spans="1:7" ht="18.75" customHeight="1">
      <c r="A24" s="23" t="s">
        <v>293</v>
      </c>
      <c r="B24" s="1084" t="s">
        <v>329</v>
      </c>
      <c r="C24" s="1085"/>
      <c r="D24" s="1085"/>
      <c r="E24" s="1086"/>
      <c r="F24" s="23" t="s">
        <v>312</v>
      </c>
      <c r="G24" s="86">
        <f>133200+150000+19400</f>
        <v>302600</v>
      </c>
    </row>
    <row r="25" spans="1:8" ht="18.75" customHeight="1">
      <c r="A25" s="24" t="s">
        <v>294</v>
      </c>
      <c r="B25" s="1075" t="s">
        <v>311</v>
      </c>
      <c r="C25" s="1076"/>
      <c r="D25" s="1076"/>
      <c r="E25" s="1077"/>
      <c r="F25" s="24" t="s">
        <v>312</v>
      </c>
      <c r="G25" s="87">
        <f>32120+34160+180440+48400</f>
        <v>295120</v>
      </c>
      <c r="H25" s="67"/>
    </row>
    <row r="26" spans="1:8" ht="29.25" customHeight="1">
      <c r="A26" s="24" t="s">
        <v>295</v>
      </c>
      <c r="B26" s="1094" t="s">
        <v>332</v>
      </c>
      <c r="C26" s="1095"/>
      <c r="D26" s="1095"/>
      <c r="E26" s="1096"/>
      <c r="F26" s="24" t="s">
        <v>333</v>
      </c>
      <c r="G26" s="87"/>
      <c r="H26" s="67"/>
    </row>
    <row r="27" spans="1:7" ht="18.75" customHeight="1">
      <c r="A27" s="24" t="s">
        <v>284</v>
      </c>
      <c r="B27" s="1075" t="s">
        <v>330</v>
      </c>
      <c r="C27" s="1076"/>
      <c r="D27" s="1076"/>
      <c r="E27" s="1077"/>
      <c r="F27" s="24" t="s">
        <v>324</v>
      </c>
      <c r="G27" s="87"/>
    </row>
    <row r="28" spans="1:7" ht="18.75" customHeight="1">
      <c r="A28" s="24" t="s">
        <v>299</v>
      </c>
      <c r="B28" s="1075" t="s">
        <v>331</v>
      </c>
      <c r="C28" s="1076"/>
      <c r="D28" s="1076"/>
      <c r="E28" s="1077"/>
      <c r="F28" s="24" t="s">
        <v>314</v>
      </c>
      <c r="G28" s="87"/>
    </row>
    <row r="29" spans="1:7" ht="18.75" customHeight="1">
      <c r="A29" s="24" t="s">
        <v>302</v>
      </c>
      <c r="B29" s="231" t="s">
        <v>456</v>
      </c>
      <c r="C29" s="236"/>
      <c r="D29" s="236"/>
      <c r="E29" s="232"/>
      <c r="F29" s="24" t="s">
        <v>315</v>
      </c>
      <c r="G29" s="87">
        <v>250000</v>
      </c>
    </row>
    <row r="30" spans="1:7" ht="18.75" customHeight="1">
      <c r="A30" s="26" t="s">
        <v>304</v>
      </c>
      <c r="B30" s="1088" t="s">
        <v>316</v>
      </c>
      <c r="C30" s="1089"/>
      <c r="D30" s="1089"/>
      <c r="E30" s="1090"/>
      <c r="F30" s="26" t="s">
        <v>313</v>
      </c>
      <c r="G30" s="88"/>
    </row>
    <row r="31" spans="1:7" ht="7.5" customHeight="1">
      <c r="A31" s="3"/>
      <c r="B31" s="4"/>
      <c r="C31" s="4"/>
      <c r="D31" s="4"/>
      <c r="E31" s="4"/>
      <c r="F31" s="4"/>
      <c r="G31" s="4"/>
    </row>
    <row r="32" spans="1:9" ht="12.75">
      <c r="A32" s="35"/>
      <c r="B32" s="34"/>
      <c r="C32" s="34"/>
      <c r="D32" s="34"/>
      <c r="E32" s="34"/>
      <c r="F32" s="34"/>
      <c r="G32" s="34"/>
      <c r="H32" s="33"/>
      <c r="I32" s="33"/>
    </row>
    <row r="33" spans="1:8" ht="18" customHeight="1">
      <c r="A33" s="1" t="s">
        <v>213</v>
      </c>
      <c r="B33" s="38"/>
      <c r="C33" s="291">
        <f>F4</f>
        <v>16017077</v>
      </c>
      <c r="D33" s="234"/>
      <c r="E33" s="1" t="s">
        <v>217</v>
      </c>
      <c r="G33" s="292">
        <f>2!D96</f>
        <v>19031506</v>
      </c>
      <c r="H33" s="293"/>
    </row>
    <row r="34" spans="1:7" ht="18" customHeight="1">
      <c r="A34" s="233" t="s">
        <v>214</v>
      </c>
      <c r="B34" s="233"/>
      <c r="C34" s="294">
        <f>G14</f>
        <v>3862149</v>
      </c>
      <c r="D34" s="237"/>
      <c r="E34" s="233" t="s">
        <v>216</v>
      </c>
      <c r="F34" s="233"/>
      <c r="G34" s="295">
        <f>G23</f>
        <v>847720</v>
      </c>
    </row>
    <row r="35" spans="1:8" ht="18" customHeight="1">
      <c r="A35" s="1" t="s">
        <v>215</v>
      </c>
      <c r="C35" s="296">
        <f>C33+C34</f>
        <v>19879226</v>
      </c>
      <c r="D35" s="235"/>
      <c r="E35" s="1" t="s">
        <v>215</v>
      </c>
      <c r="G35" s="292">
        <f>G33+G34</f>
        <v>19879226</v>
      </c>
      <c r="H35" s="67">
        <f>C35-G35</f>
        <v>0</v>
      </c>
    </row>
  </sheetData>
  <mergeCells count="27">
    <mergeCell ref="A8:G8"/>
    <mergeCell ref="B22:E22"/>
    <mergeCell ref="B19:E19"/>
    <mergeCell ref="A1:G1"/>
    <mergeCell ref="A10:A12"/>
    <mergeCell ref="F10:F12"/>
    <mergeCell ref="G10:G12"/>
    <mergeCell ref="A4:B4"/>
    <mergeCell ref="A5:B5"/>
    <mergeCell ref="B2:F2"/>
    <mergeCell ref="A6:C6"/>
    <mergeCell ref="B30:E30"/>
    <mergeCell ref="A23:E23"/>
    <mergeCell ref="B24:E24"/>
    <mergeCell ref="B25:E25"/>
    <mergeCell ref="B26:E26"/>
    <mergeCell ref="B27:E27"/>
    <mergeCell ref="B28:E28"/>
    <mergeCell ref="A14:E14"/>
    <mergeCell ref="B10:E12"/>
    <mergeCell ref="B21:E21"/>
    <mergeCell ref="B17:E17"/>
    <mergeCell ref="B16:E16"/>
    <mergeCell ref="B13:E13"/>
    <mergeCell ref="B18:E18"/>
    <mergeCell ref="B15:E15"/>
    <mergeCell ref="B20:E20"/>
  </mergeCells>
  <printOptions horizontalCentered="1"/>
  <pageMargins left="0.3937007874015748" right="0.3937007874015748" top="1.24" bottom="0.5905511811023623" header="0.5" footer="0.5118110236220472"/>
  <pageSetup horizontalDpi="600" verticalDpi="600" orientation="portrait" paperSize="9" r:id="rId1"/>
  <headerFooter alignWithMargins="0">
    <oddHeader>&amp;R&amp;"Arial CE,Pogrubiony"Załącznik nr &amp;A&amp;"Arial CE,Standardowy"
do Uchwały Rady Gminy Miłkowice Nr XXXV/181/2009            
z dnia 30 stycznia 2009 roku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6">
    <pageSetUpPr fitToPage="1"/>
  </sheetPr>
  <dimension ref="A1:O39"/>
  <sheetViews>
    <sheetView showGridLines="0" workbookViewId="0" topLeftCell="C10">
      <selection activeCell="N25" sqref="N25"/>
    </sheetView>
  </sheetViews>
  <sheetFormatPr defaultColWidth="9.00390625" defaultRowHeight="12.75"/>
  <cols>
    <col min="1" max="1" width="6.25390625" style="659" customWidth="1"/>
    <col min="2" max="2" width="42.875" style="659" customWidth="1"/>
    <col min="3" max="3" width="14.75390625" style="659" customWidth="1"/>
    <col min="4" max="15" width="10.125" style="659" customWidth="1"/>
    <col min="16" max="16384" width="9.125" style="659" customWidth="1"/>
  </cols>
  <sheetData>
    <row r="1" spans="1:10" ht="18">
      <c r="A1" s="1113" t="s">
        <v>261</v>
      </c>
      <c r="B1" s="1113"/>
      <c r="C1" s="1113"/>
      <c r="D1" s="1113"/>
      <c r="E1" s="1113"/>
      <c r="F1" s="1113"/>
      <c r="G1" s="1113"/>
      <c r="H1" s="1113"/>
      <c r="I1" s="1113"/>
      <c r="J1" s="1113"/>
    </row>
    <row r="2" spans="7:15" ht="9.75" customHeight="1">
      <c r="G2" s="661"/>
      <c r="J2" s="662"/>
      <c r="K2" s="662"/>
      <c r="L2" s="662"/>
      <c r="M2" s="662"/>
      <c r="N2" s="662"/>
      <c r="O2" s="662"/>
    </row>
    <row r="3" spans="1:15" s="664" customFormat="1" ht="13.5" thickBot="1">
      <c r="A3" s="1114" t="s">
        <v>335</v>
      </c>
      <c r="B3" s="1114" t="s">
        <v>283</v>
      </c>
      <c r="C3" s="1115" t="s">
        <v>221</v>
      </c>
      <c r="D3" s="775"/>
      <c r="E3" s="776"/>
      <c r="F3" s="776"/>
      <c r="G3" s="776"/>
      <c r="H3" s="776"/>
      <c r="I3" s="776"/>
      <c r="J3" s="776"/>
      <c r="K3" s="776"/>
      <c r="L3" s="776"/>
      <c r="M3" s="776"/>
      <c r="N3" s="776"/>
      <c r="O3" s="778"/>
    </row>
    <row r="4" spans="1:15" s="664" customFormat="1" ht="23.25" customHeight="1">
      <c r="A4" s="1114"/>
      <c r="B4" s="1114"/>
      <c r="C4" s="1116"/>
      <c r="D4" s="665">
        <v>2009</v>
      </c>
      <c r="E4" s="666">
        <v>2010</v>
      </c>
      <c r="F4" s="663">
        <v>2011</v>
      </c>
      <c r="G4" s="663">
        <v>2012</v>
      </c>
      <c r="H4" s="663">
        <v>2013</v>
      </c>
      <c r="I4" s="663">
        <v>2014</v>
      </c>
      <c r="J4" s="663">
        <v>2015</v>
      </c>
      <c r="K4" s="663">
        <v>2016</v>
      </c>
      <c r="L4" s="663">
        <v>2017</v>
      </c>
      <c r="M4" s="663">
        <v>2018</v>
      </c>
      <c r="N4" s="663">
        <v>2019</v>
      </c>
      <c r="O4" s="663">
        <v>2020</v>
      </c>
    </row>
    <row r="5" spans="1:15" s="671" customFormat="1" ht="8.25">
      <c r="A5" s="667">
        <v>1</v>
      </c>
      <c r="B5" s="667">
        <v>2</v>
      </c>
      <c r="C5" s="668">
        <v>3</v>
      </c>
      <c r="D5" s="669">
        <v>6</v>
      </c>
      <c r="E5" s="670">
        <v>7</v>
      </c>
      <c r="F5" s="667">
        <v>8</v>
      </c>
      <c r="G5" s="667">
        <v>9</v>
      </c>
      <c r="H5" s="667">
        <v>7</v>
      </c>
      <c r="I5" s="667">
        <v>8</v>
      </c>
      <c r="J5" s="667">
        <v>9</v>
      </c>
      <c r="K5" s="667">
        <v>9</v>
      </c>
      <c r="L5" s="667">
        <v>9</v>
      </c>
      <c r="M5" s="667">
        <v>9</v>
      </c>
      <c r="N5" s="667">
        <v>9</v>
      </c>
      <c r="O5" s="667">
        <v>9</v>
      </c>
    </row>
    <row r="6" spans="1:15" s="664" customFormat="1" ht="25.5">
      <c r="A6" s="672" t="s">
        <v>293</v>
      </c>
      <c r="B6" s="673" t="s">
        <v>107</v>
      </c>
      <c r="C6" s="674">
        <f aca="true" t="shared" si="0" ref="C6:J6">C7+C12-C18</f>
        <v>4200400</v>
      </c>
      <c r="D6" s="675">
        <f t="shared" si="0"/>
        <v>5049080</v>
      </c>
      <c r="E6" s="676">
        <f t="shared" si="0"/>
        <v>4201280</v>
      </c>
      <c r="F6" s="677">
        <f t="shared" si="0"/>
        <v>3378460</v>
      </c>
      <c r="G6" s="677">
        <f t="shared" si="0"/>
        <v>2574020</v>
      </c>
      <c r="H6" s="677">
        <f t="shared" si="0"/>
        <v>1795180</v>
      </c>
      <c r="I6" s="677">
        <f t="shared" si="0"/>
        <v>1016340</v>
      </c>
      <c r="J6" s="677">
        <f t="shared" si="0"/>
        <v>237500</v>
      </c>
      <c r="K6" s="677">
        <f>K7+K12-K18</f>
        <v>187500</v>
      </c>
      <c r="L6" s="677">
        <f>L7+L12-L18</f>
        <v>137500</v>
      </c>
      <c r="M6" s="677">
        <f>M7+M12-M18</f>
        <v>87500</v>
      </c>
      <c r="N6" s="677">
        <f>N7+N12-N18</f>
        <v>37500</v>
      </c>
      <c r="O6" s="677">
        <f>O7+O12-O18</f>
        <v>0</v>
      </c>
    </row>
    <row r="7" spans="1:15" s="679" customFormat="1" ht="25.5">
      <c r="A7" s="672" t="s">
        <v>344</v>
      </c>
      <c r="B7" s="678" t="s">
        <v>102</v>
      </c>
      <c r="C7" s="674">
        <f>SUM(C8:C11)</f>
        <v>2835140</v>
      </c>
      <c r="D7" s="675">
        <f aca="true" t="shared" si="1" ref="D7:J7">C6</f>
        <v>4200400</v>
      </c>
      <c r="E7" s="676">
        <f t="shared" si="1"/>
        <v>5049080</v>
      </c>
      <c r="F7" s="677">
        <f t="shared" si="1"/>
        <v>4201280</v>
      </c>
      <c r="G7" s="677">
        <f t="shared" si="1"/>
        <v>3378460</v>
      </c>
      <c r="H7" s="677">
        <f t="shared" si="1"/>
        <v>2574020</v>
      </c>
      <c r="I7" s="677">
        <f t="shared" si="1"/>
        <v>1795180</v>
      </c>
      <c r="J7" s="677">
        <f t="shared" si="1"/>
        <v>1016340</v>
      </c>
      <c r="K7" s="677">
        <f>J6</f>
        <v>237500</v>
      </c>
      <c r="L7" s="677">
        <f>K6</f>
        <v>187500</v>
      </c>
      <c r="M7" s="677">
        <f>L6</f>
        <v>137500</v>
      </c>
      <c r="N7" s="677">
        <f>M6</f>
        <v>87500</v>
      </c>
      <c r="O7" s="677">
        <f>N6</f>
        <v>37500</v>
      </c>
    </row>
    <row r="8" spans="1:15" s="679" customFormat="1" ht="15" customHeight="1">
      <c r="A8" s="680" t="s">
        <v>460</v>
      </c>
      <c r="B8" s="681" t="s">
        <v>350</v>
      </c>
      <c r="C8" s="674">
        <v>1895540</v>
      </c>
      <c r="D8" s="675">
        <f aca="true" t="shared" si="2" ref="D8:J10">C8+C13-C19</f>
        <v>1634000</v>
      </c>
      <c r="E8" s="676">
        <f t="shared" si="2"/>
        <v>1874280</v>
      </c>
      <c r="F8" s="676">
        <f t="shared" si="2"/>
        <v>1611280</v>
      </c>
      <c r="G8" s="676">
        <f t="shared" si="2"/>
        <v>1352860</v>
      </c>
      <c r="H8" s="676">
        <f t="shared" si="2"/>
        <v>1074020</v>
      </c>
      <c r="I8" s="676">
        <f t="shared" si="2"/>
        <v>795180</v>
      </c>
      <c r="J8" s="676">
        <f t="shared" si="2"/>
        <v>516340</v>
      </c>
      <c r="K8" s="676">
        <f aca="true" t="shared" si="3" ref="K8:O10">J8+J13-J19</f>
        <v>237500</v>
      </c>
      <c r="L8" s="676">
        <f t="shared" si="3"/>
        <v>187500</v>
      </c>
      <c r="M8" s="676">
        <f t="shared" si="3"/>
        <v>137500</v>
      </c>
      <c r="N8" s="676">
        <f t="shared" si="3"/>
        <v>87500</v>
      </c>
      <c r="O8" s="676">
        <f t="shared" si="3"/>
        <v>37500</v>
      </c>
    </row>
    <row r="9" spans="1:15" s="679" customFormat="1" ht="15" customHeight="1">
      <c r="A9" s="680" t="s">
        <v>461</v>
      </c>
      <c r="B9" s="681" t="s">
        <v>351</v>
      </c>
      <c r="C9" s="674">
        <v>939600</v>
      </c>
      <c r="D9" s="675">
        <f t="shared" si="2"/>
        <v>566400</v>
      </c>
      <c r="E9" s="676">
        <f t="shared" si="2"/>
        <v>424800</v>
      </c>
      <c r="F9" s="676">
        <f t="shared" si="2"/>
        <v>90000</v>
      </c>
      <c r="G9" s="676">
        <f t="shared" si="2"/>
        <v>25600</v>
      </c>
      <c r="H9" s="676">
        <f t="shared" si="2"/>
        <v>0</v>
      </c>
      <c r="I9" s="676">
        <f t="shared" si="2"/>
        <v>0</v>
      </c>
      <c r="J9" s="676">
        <f t="shared" si="2"/>
        <v>0</v>
      </c>
      <c r="K9" s="676">
        <f t="shared" si="3"/>
        <v>0</v>
      </c>
      <c r="L9" s="676">
        <f t="shared" si="3"/>
        <v>0</v>
      </c>
      <c r="M9" s="676">
        <f t="shared" si="3"/>
        <v>0</v>
      </c>
      <c r="N9" s="676">
        <f t="shared" si="3"/>
        <v>0</v>
      </c>
      <c r="O9" s="676">
        <f t="shared" si="3"/>
        <v>0</v>
      </c>
    </row>
    <row r="10" spans="1:15" s="679" customFormat="1" ht="15" customHeight="1">
      <c r="A10" s="680" t="s">
        <v>462</v>
      </c>
      <c r="B10" s="681" t="s">
        <v>222</v>
      </c>
      <c r="C10" s="674"/>
      <c r="D10" s="675">
        <f t="shared" si="2"/>
        <v>2000000</v>
      </c>
      <c r="E10" s="676">
        <f t="shared" si="2"/>
        <v>2750000</v>
      </c>
      <c r="F10" s="676">
        <f t="shared" si="2"/>
        <v>2500000</v>
      </c>
      <c r="G10" s="676">
        <f t="shared" si="2"/>
        <v>2000000</v>
      </c>
      <c r="H10" s="676">
        <f t="shared" si="2"/>
        <v>1500000</v>
      </c>
      <c r="I10" s="676">
        <f t="shared" si="2"/>
        <v>1000000</v>
      </c>
      <c r="J10" s="676">
        <f t="shared" si="2"/>
        <v>500000</v>
      </c>
      <c r="K10" s="676">
        <f t="shared" si="3"/>
        <v>0</v>
      </c>
      <c r="L10" s="676">
        <f t="shared" si="3"/>
        <v>0</v>
      </c>
      <c r="M10" s="676">
        <f t="shared" si="3"/>
        <v>0</v>
      </c>
      <c r="N10" s="676">
        <f t="shared" si="3"/>
        <v>0</v>
      </c>
      <c r="O10" s="676">
        <f t="shared" si="3"/>
        <v>0</v>
      </c>
    </row>
    <row r="11" spans="1:15" s="679" customFormat="1" ht="51" hidden="1">
      <c r="A11" s="680" t="s">
        <v>223</v>
      </c>
      <c r="B11" s="681" t="s">
        <v>110</v>
      </c>
      <c r="C11" s="682"/>
      <c r="D11" s="675"/>
      <c r="E11" s="676"/>
      <c r="F11" s="677"/>
      <c r="G11" s="677"/>
      <c r="H11" s="677"/>
      <c r="I11" s="677"/>
      <c r="J11" s="677"/>
      <c r="K11" s="677"/>
      <c r="L11" s="677"/>
      <c r="M11" s="677"/>
      <c r="N11" s="677"/>
      <c r="O11" s="677"/>
    </row>
    <row r="12" spans="1:15" s="679" customFormat="1" ht="15" customHeight="1">
      <c r="A12" s="672" t="s">
        <v>345</v>
      </c>
      <c r="B12" s="678" t="s">
        <v>103</v>
      </c>
      <c r="C12" s="674">
        <f aca="true" t="shared" si="4" ref="C12:J12">SUM(C13:C16)</f>
        <v>2000000</v>
      </c>
      <c r="D12" s="675">
        <f t="shared" si="4"/>
        <v>1696400</v>
      </c>
      <c r="E12" s="676">
        <f t="shared" si="4"/>
        <v>0</v>
      </c>
      <c r="F12" s="677">
        <f t="shared" si="4"/>
        <v>0</v>
      </c>
      <c r="G12" s="677">
        <f t="shared" si="4"/>
        <v>0</v>
      </c>
      <c r="H12" s="677">
        <f t="shared" si="4"/>
        <v>0</v>
      </c>
      <c r="I12" s="677">
        <f t="shared" si="4"/>
        <v>0</v>
      </c>
      <c r="J12" s="677">
        <f t="shared" si="4"/>
        <v>0</v>
      </c>
      <c r="K12" s="677">
        <f>SUM(K13:K16)</f>
        <v>0</v>
      </c>
      <c r="L12" s="677">
        <f>SUM(L13:L16)</f>
        <v>0</v>
      </c>
      <c r="M12" s="677">
        <f>SUM(M13:M16)</f>
        <v>0</v>
      </c>
      <c r="N12" s="677">
        <f>SUM(N13:N16)</f>
        <v>0</v>
      </c>
      <c r="O12" s="677">
        <f>SUM(O13:O16)</f>
        <v>0</v>
      </c>
    </row>
    <row r="13" spans="1:15" s="679" customFormat="1" ht="15" customHeight="1">
      <c r="A13" s="680" t="s">
        <v>463</v>
      </c>
      <c r="B13" s="681" t="s">
        <v>350</v>
      </c>
      <c r="C13" s="674"/>
      <c r="D13" s="675">
        <f>85400+450000</f>
        <v>535400</v>
      </c>
      <c r="E13" s="676"/>
      <c r="F13" s="677"/>
      <c r="G13" s="677"/>
      <c r="H13" s="677"/>
      <c r="I13" s="677"/>
      <c r="J13" s="677"/>
      <c r="K13" s="677"/>
      <c r="L13" s="677"/>
      <c r="M13" s="677"/>
      <c r="N13" s="677"/>
      <c r="O13" s="677"/>
    </row>
    <row r="14" spans="1:15" s="679" customFormat="1" ht="15" customHeight="1">
      <c r="A14" s="680" t="s">
        <v>464</v>
      </c>
      <c r="B14" s="681" t="s">
        <v>351</v>
      </c>
      <c r="C14" s="674"/>
      <c r="D14" s="675">
        <f>64000+97000</f>
        <v>161000</v>
      </c>
      <c r="E14" s="676"/>
      <c r="F14" s="677"/>
      <c r="G14" s="677"/>
      <c r="H14" s="677"/>
      <c r="I14" s="677"/>
      <c r="J14" s="677"/>
      <c r="K14" s="677"/>
      <c r="L14" s="677"/>
      <c r="M14" s="677"/>
      <c r="N14" s="677"/>
      <c r="O14" s="677"/>
    </row>
    <row r="15" spans="1:15" s="679" customFormat="1" ht="12.75">
      <c r="A15" s="680" t="s">
        <v>465</v>
      </c>
      <c r="B15" s="681" t="s">
        <v>222</v>
      </c>
      <c r="C15" s="674">
        <v>2000000</v>
      </c>
      <c r="D15" s="675">
        <v>1000000</v>
      </c>
      <c r="E15" s="676"/>
      <c r="F15" s="677"/>
      <c r="G15" s="677"/>
      <c r="H15" s="677"/>
      <c r="I15" s="677"/>
      <c r="J15" s="677"/>
      <c r="K15" s="677"/>
      <c r="L15" s="677"/>
      <c r="M15" s="677"/>
      <c r="N15" s="677"/>
      <c r="O15" s="677"/>
    </row>
    <row r="16" spans="1:15" s="679" customFormat="1" ht="51" hidden="1">
      <c r="A16" s="680" t="s">
        <v>224</v>
      </c>
      <c r="B16" s="681" t="s">
        <v>110</v>
      </c>
      <c r="C16" s="674"/>
      <c r="D16" s="675"/>
      <c r="E16" s="676"/>
      <c r="F16" s="677"/>
      <c r="G16" s="677"/>
      <c r="H16" s="677"/>
      <c r="I16" s="677"/>
      <c r="J16" s="677"/>
      <c r="K16" s="677"/>
      <c r="L16" s="677"/>
      <c r="M16" s="677"/>
      <c r="N16" s="677"/>
      <c r="O16" s="677"/>
    </row>
    <row r="17" spans="1:15" s="664" customFormat="1" ht="22.5" customHeight="1">
      <c r="A17" s="672" t="s">
        <v>294</v>
      </c>
      <c r="B17" s="673" t="s">
        <v>104</v>
      </c>
      <c r="C17" s="683">
        <f aca="true" t="shared" si="5" ref="C17:J17">C18+C24</f>
        <v>819740</v>
      </c>
      <c r="D17" s="684">
        <f t="shared" si="5"/>
        <v>1097720</v>
      </c>
      <c r="E17" s="685">
        <f t="shared" si="5"/>
        <v>1095800</v>
      </c>
      <c r="F17" s="686">
        <f t="shared" si="5"/>
        <v>1060820</v>
      </c>
      <c r="G17" s="686">
        <f t="shared" si="5"/>
        <v>998440</v>
      </c>
      <c r="H17" s="686">
        <f t="shared" si="5"/>
        <v>922840</v>
      </c>
      <c r="I17" s="686">
        <f t="shared" si="5"/>
        <v>876840</v>
      </c>
      <c r="J17" s="686">
        <f t="shared" si="5"/>
        <v>823840</v>
      </c>
      <c r="K17" s="686">
        <f>K18+K24</f>
        <v>58000</v>
      </c>
      <c r="L17" s="686">
        <f>L18+L24</f>
        <v>56000</v>
      </c>
      <c r="M17" s="686">
        <f>M18+M24</f>
        <v>54500</v>
      </c>
      <c r="N17" s="686">
        <f>N18+N24</f>
        <v>52500</v>
      </c>
      <c r="O17" s="686">
        <f>O18+O24</f>
        <v>38500</v>
      </c>
    </row>
    <row r="18" spans="1:15" s="664" customFormat="1" ht="15" customHeight="1">
      <c r="A18" s="672" t="s">
        <v>346</v>
      </c>
      <c r="B18" s="673" t="s">
        <v>105</v>
      </c>
      <c r="C18" s="687">
        <f aca="true" t="shared" si="6" ref="C18:J18">SUM(C19:C23)</f>
        <v>634740</v>
      </c>
      <c r="D18" s="688">
        <f t="shared" si="6"/>
        <v>847720</v>
      </c>
      <c r="E18" s="689">
        <f t="shared" si="6"/>
        <v>847800</v>
      </c>
      <c r="F18" s="690">
        <f t="shared" si="6"/>
        <v>822820</v>
      </c>
      <c r="G18" s="690">
        <f t="shared" si="6"/>
        <v>804440</v>
      </c>
      <c r="H18" s="690">
        <f t="shared" si="6"/>
        <v>778840</v>
      </c>
      <c r="I18" s="690">
        <f t="shared" si="6"/>
        <v>778840</v>
      </c>
      <c r="J18" s="690">
        <f t="shared" si="6"/>
        <v>778840</v>
      </c>
      <c r="K18" s="690">
        <f>SUM(K19:K23)</f>
        <v>50000</v>
      </c>
      <c r="L18" s="690">
        <f>SUM(L19:L23)</f>
        <v>50000</v>
      </c>
      <c r="M18" s="690">
        <f>SUM(M19:M23)</f>
        <v>50000</v>
      </c>
      <c r="N18" s="690">
        <f>SUM(N19:N23)</f>
        <v>50000</v>
      </c>
      <c r="O18" s="690">
        <f>SUM(O19:O23)</f>
        <v>37500</v>
      </c>
    </row>
    <row r="19" spans="1:15" s="679" customFormat="1" ht="15" customHeight="1">
      <c r="A19" s="680" t="s">
        <v>457</v>
      </c>
      <c r="B19" s="681" t="s">
        <v>97</v>
      </c>
      <c r="C19" s="674">
        <v>261540</v>
      </c>
      <c r="D19" s="675">
        <f>32120+180440+48400+34160</f>
        <v>295120</v>
      </c>
      <c r="E19" s="676">
        <f>180440+48400+34160</f>
        <v>263000</v>
      </c>
      <c r="F19" s="676">
        <f>180440+48400+17080+12500</f>
        <v>258420</v>
      </c>
      <c r="G19" s="676">
        <f>180440+48400+50000</f>
        <v>278840</v>
      </c>
      <c r="H19" s="676">
        <f>180440+48400+50000</f>
        <v>278840</v>
      </c>
      <c r="I19" s="676">
        <f>180440+48400+50000</f>
        <v>278840</v>
      </c>
      <c r="J19" s="676">
        <f>180440+48400+50000</f>
        <v>278840</v>
      </c>
      <c r="K19" s="676">
        <v>50000</v>
      </c>
      <c r="L19" s="676">
        <v>50000</v>
      </c>
      <c r="M19" s="676">
        <v>50000</v>
      </c>
      <c r="N19" s="676">
        <v>50000</v>
      </c>
      <c r="O19" s="676">
        <v>37500</v>
      </c>
    </row>
    <row r="20" spans="1:15" s="679" customFormat="1" ht="15" customHeight="1">
      <c r="A20" s="680" t="s">
        <v>458</v>
      </c>
      <c r="B20" s="681" t="s">
        <v>351</v>
      </c>
      <c r="C20" s="674">
        <v>373200</v>
      </c>
      <c r="D20" s="675">
        <f>150000+133200+19400</f>
        <v>302600</v>
      </c>
      <c r="E20" s="676">
        <f>133200+150000+38800+12800</f>
        <v>334800</v>
      </c>
      <c r="F20" s="677">
        <f>38800+25600</f>
        <v>64400</v>
      </c>
      <c r="G20" s="677">
        <v>25600</v>
      </c>
      <c r="H20" s="677"/>
      <c r="I20" s="677"/>
      <c r="J20" s="677"/>
      <c r="K20" s="677"/>
      <c r="L20" s="677"/>
      <c r="M20" s="677"/>
      <c r="N20" s="677"/>
      <c r="O20" s="677"/>
    </row>
    <row r="21" spans="1:15" s="679" customFormat="1" ht="14.25" customHeight="1">
      <c r="A21" s="680" t="s">
        <v>459</v>
      </c>
      <c r="B21" s="681" t="s">
        <v>225</v>
      </c>
      <c r="C21" s="674"/>
      <c r="D21" s="675">
        <v>250000</v>
      </c>
      <c r="E21" s="777">
        <v>250000</v>
      </c>
      <c r="F21" s="677">
        <v>500000</v>
      </c>
      <c r="G21" s="677">
        <f>F21</f>
        <v>500000</v>
      </c>
      <c r="H21" s="677">
        <f>G21</f>
        <v>500000</v>
      </c>
      <c r="I21" s="677">
        <f>H21</f>
        <v>500000</v>
      </c>
      <c r="J21" s="677">
        <f>I21</f>
        <v>500000</v>
      </c>
      <c r="K21" s="677"/>
      <c r="L21" s="677"/>
      <c r="M21" s="677"/>
      <c r="N21" s="677"/>
      <c r="O21" s="677"/>
    </row>
    <row r="22" spans="1:15" s="679" customFormat="1" ht="15" customHeight="1">
      <c r="A22" s="680" t="s">
        <v>96</v>
      </c>
      <c r="B22" s="681" t="s">
        <v>467</v>
      </c>
      <c r="C22" s="674"/>
      <c r="D22" s="675"/>
      <c r="E22" s="676"/>
      <c r="F22" s="677"/>
      <c r="G22" s="677"/>
      <c r="H22" s="677"/>
      <c r="I22" s="677"/>
      <c r="J22" s="677"/>
      <c r="K22" s="677"/>
      <c r="L22" s="677"/>
      <c r="M22" s="677"/>
      <c r="N22" s="677"/>
      <c r="O22" s="677"/>
    </row>
    <row r="23" spans="1:15" s="679" customFormat="1" ht="51" hidden="1">
      <c r="A23" s="680" t="s">
        <v>106</v>
      </c>
      <c r="B23" s="681" t="s">
        <v>110</v>
      </c>
      <c r="C23" s="674"/>
      <c r="D23" s="675"/>
      <c r="E23" s="676"/>
      <c r="F23" s="677"/>
      <c r="G23" s="677"/>
      <c r="H23" s="677"/>
      <c r="I23" s="677"/>
      <c r="J23" s="677"/>
      <c r="K23" s="677"/>
      <c r="L23" s="677"/>
      <c r="M23" s="677"/>
      <c r="N23" s="677"/>
      <c r="O23" s="677"/>
    </row>
    <row r="24" spans="1:15" s="691" customFormat="1" ht="14.25" customHeight="1">
      <c r="A24" s="672" t="s">
        <v>347</v>
      </c>
      <c r="B24" s="678" t="s">
        <v>466</v>
      </c>
      <c r="C24" s="674">
        <v>185000</v>
      </c>
      <c r="D24" s="675">
        <v>250000</v>
      </c>
      <c r="E24" s="676">
        <v>248000</v>
      </c>
      <c r="F24" s="677">
        <v>238000</v>
      </c>
      <c r="G24" s="677">
        <v>194000</v>
      </c>
      <c r="H24" s="677">
        <v>144000</v>
      </c>
      <c r="I24" s="677">
        <v>98000</v>
      </c>
      <c r="J24" s="677">
        <v>45000</v>
      </c>
      <c r="K24" s="677">
        <v>8000</v>
      </c>
      <c r="L24" s="677">
        <v>6000</v>
      </c>
      <c r="M24" s="677">
        <v>4500</v>
      </c>
      <c r="N24" s="677">
        <v>2500</v>
      </c>
      <c r="O24" s="677">
        <v>1000</v>
      </c>
    </row>
    <row r="25" spans="1:15" s="664" customFormat="1" ht="22.5" customHeight="1">
      <c r="A25" s="672" t="s">
        <v>295</v>
      </c>
      <c r="B25" s="673" t="s">
        <v>226</v>
      </c>
      <c r="C25" s="674">
        <f>SUM(C26:C28)</f>
        <v>15535410</v>
      </c>
      <c r="D25" s="675">
        <f>1!E110</f>
        <v>16017077</v>
      </c>
      <c r="E25" s="676">
        <f aca="true" t="shared" si="7" ref="E25:J25">SUM(E26:E28)</f>
        <v>19172968.4152</v>
      </c>
      <c r="F25" s="676">
        <f t="shared" si="7"/>
        <v>16395553.529600002</v>
      </c>
      <c r="G25" s="676">
        <f t="shared" si="7"/>
        <v>16723464.600192001</v>
      </c>
      <c r="H25" s="676">
        <f t="shared" si="7"/>
        <v>17057933.89219584</v>
      </c>
      <c r="I25" s="676">
        <f t="shared" si="7"/>
        <v>17399092.57003976</v>
      </c>
      <c r="J25" s="676">
        <f t="shared" si="7"/>
        <v>17747074.421440557</v>
      </c>
      <c r="K25" s="676">
        <f>SUM(K26:K28)</f>
        <v>18102015.909869365</v>
      </c>
      <c r="L25" s="676">
        <f>SUM(L26:L28)</f>
        <v>18464056.228066754</v>
      </c>
      <c r="M25" s="676">
        <f>SUM(M26:M28)</f>
        <v>18833337.35262809</v>
      </c>
      <c r="N25" s="676">
        <f>SUM(N26:N28)</f>
        <v>19210004.09968065</v>
      </c>
      <c r="O25" s="676">
        <f>SUM(O26:O28)</f>
        <v>19594204.181674264</v>
      </c>
    </row>
    <row r="26" spans="1:15" s="692" customFormat="1" ht="14.25" customHeight="1">
      <c r="A26" s="680" t="s">
        <v>227</v>
      </c>
      <c r="B26" s="681" t="s">
        <v>228</v>
      </c>
      <c r="C26" s="674">
        <f>5885213+2080825</f>
        <v>7966038</v>
      </c>
      <c r="D26" s="675">
        <f>14130250-D27-D28</f>
        <v>6506326</v>
      </c>
      <c r="E26" s="676">
        <f>(C26*1.02)*1.02+2250000+142600+135000+200000+381100</f>
        <v>11396565.9352</v>
      </c>
      <c r="F26" s="677">
        <f>8463623</f>
        <v>8463623</v>
      </c>
      <c r="G26" s="677">
        <f aca="true" t="shared" si="8" ref="G26:J28">F26*1.02</f>
        <v>8632895.46</v>
      </c>
      <c r="H26" s="677">
        <f t="shared" si="8"/>
        <v>8805553.3692</v>
      </c>
      <c r="I26" s="677">
        <f t="shared" si="8"/>
        <v>8981664.436584001</v>
      </c>
      <c r="J26" s="677">
        <f t="shared" si="8"/>
        <v>9161297.72531568</v>
      </c>
      <c r="K26" s="677">
        <f aca="true" t="shared" si="9" ref="K26:O28">J26*1.02</f>
        <v>9344523.679821994</v>
      </c>
      <c r="L26" s="677">
        <f t="shared" si="9"/>
        <v>9531414.153418435</v>
      </c>
      <c r="M26" s="677">
        <f t="shared" si="9"/>
        <v>9722042.436486803</v>
      </c>
      <c r="N26" s="677">
        <f t="shared" si="9"/>
        <v>9916483.28521654</v>
      </c>
      <c r="O26" s="677">
        <f t="shared" si="9"/>
        <v>10114812.95092087</v>
      </c>
    </row>
    <row r="27" spans="1:15" s="692" customFormat="1" ht="14.25" customHeight="1">
      <c r="A27" s="680" t="s">
        <v>229</v>
      </c>
      <c r="B27" s="681" t="s">
        <v>230</v>
      </c>
      <c r="C27" s="674">
        <v>4790967</v>
      </c>
      <c r="D27" s="675">
        <v>5095217</v>
      </c>
      <c r="E27" s="676">
        <f>D27*1.02</f>
        <v>5197121.34</v>
      </c>
      <c r="F27" s="677">
        <f>E27*1.02</f>
        <v>5301063.7668</v>
      </c>
      <c r="G27" s="677">
        <f t="shared" si="8"/>
        <v>5407085.0421360005</v>
      </c>
      <c r="H27" s="677">
        <f t="shared" si="8"/>
        <v>5515226.742978721</v>
      </c>
      <c r="I27" s="677">
        <f t="shared" si="8"/>
        <v>5625531.277838295</v>
      </c>
      <c r="J27" s="677">
        <f t="shared" si="8"/>
        <v>5738041.903395061</v>
      </c>
      <c r="K27" s="677">
        <f t="shared" si="9"/>
        <v>5852802.741462963</v>
      </c>
      <c r="L27" s="677">
        <f t="shared" si="9"/>
        <v>5969858.796292222</v>
      </c>
      <c r="M27" s="677">
        <f t="shared" si="9"/>
        <v>6089255.972218066</v>
      </c>
      <c r="N27" s="677">
        <f t="shared" si="9"/>
        <v>6211041.091662428</v>
      </c>
      <c r="O27" s="677">
        <f t="shared" si="9"/>
        <v>6335261.913495677</v>
      </c>
    </row>
    <row r="28" spans="1:15" s="692" customFormat="1" ht="14.25" customHeight="1">
      <c r="A28" s="680" t="s">
        <v>231</v>
      </c>
      <c r="B28" s="681" t="s">
        <v>353</v>
      </c>
      <c r="C28" s="674">
        <v>2778405</v>
      </c>
      <c r="D28" s="675">
        <f>2520807+7900</f>
        <v>2528707</v>
      </c>
      <c r="E28" s="676">
        <f>D28*1.02</f>
        <v>2579281.14</v>
      </c>
      <c r="F28" s="677">
        <f>E28*1.02</f>
        <v>2630866.7628</v>
      </c>
      <c r="G28" s="677">
        <f t="shared" si="8"/>
        <v>2683484.098056</v>
      </c>
      <c r="H28" s="677">
        <f t="shared" si="8"/>
        <v>2737153.7800171203</v>
      </c>
      <c r="I28" s="677">
        <f t="shared" si="8"/>
        <v>2791896.8556174627</v>
      </c>
      <c r="J28" s="677">
        <f t="shared" si="8"/>
        <v>2847734.7927298117</v>
      </c>
      <c r="K28" s="677">
        <f t="shared" si="9"/>
        <v>2904689.488584408</v>
      </c>
      <c r="L28" s="677">
        <f t="shared" si="9"/>
        <v>2962783.2783560962</v>
      </c>
      <c r="M28" s="677">
        <f t="shared" si="9"/>
        <v>3022038.943923218</v>
      </c>
      <c r="N28" s="677">
        <f t="shared" si="9"/>
        <v>3082479.7228016825</v>
      </c>
      <c r="O28" s="677">
        <f t="shared" si="9"/>
        <v>3144129.3172577163</v>
      </c>
    </row>
    <row r="29" spans="1:15" s="693" customFormat="1" ht="22.5" customHeight="1">
      <c r="A29" s="672" t="s">
        <v>284</v>
      </c>
      <c r="B29" s="673" t="s">
        <v>232</v>
      </c>
      <c r="C29" s="674">
        <f>SUM(C30:C31)</f>
        <v>16984325</v>
      </c>
      <c r="D29" s="675">
        <f>2!D96</f>
        <v>19031506</v>
      </c>
      <c r="E29" s="676">
        <f aca="true" t="shared" si="10" ref="E29:J29">SUM(E30:E31)</f>
        <v>19205783</v>
      </c>
      <c r="F29" s="676">
        <f t="shared" si="10"/>
        <v>16362882.32</v>
      </c>
      <c r="G29" s="676">
        <f t="shared" si="10"/>
        <v>16690139.966400001</v>
      </c>
      <c r="H29" s="676">
        <f t="shared" si="10"/>
        <v>17023942.765728</v>
      </c>
      <c r="I29" s="676">
        <f t="shared" si="10"/>
        <v>17364421.62104256</v>
      </c>
      <c r="J29" s="676">
        <f t="shared" si="10"/>
        <v>17711710.053463414</v>
      </c>
      <c r="K29" s="676">
        <f>SUM(K30:K31)</f>
        <v>18065944.25453268</v>
      </c>
      <c r="L29" s="676">
        <f>SUM(L30:L31)</f>
        <v>18427263.139623336</v>
      </c>
      <c r="M29" s="676">
        <f>SUM(M30:M31)</f>
        <v>18795808.4024158</v>
      </c>
      <c r="N29" s="676">
        <f>SUM(N30:N31)</f>
        <v>19171724.57046412</v>
      </c>
      <c r="O29" s="676">
        <f>SUM(O30:O31)</f>
        <v>19555159.061873402</v>
      </c>
    </row>
    <row r="30" spans="1:15" s="692" customFormat="1" ht="14.25" customHeight="1">
      <c r="A30" s="680" t="s">
        <v>233</v>
      </c>
      <c r="B30" s="681" t="s">
        <v>234</v>
      </c>
      <c r="C30" s="674">
        <v>12182071</v>
      </c>
      <c r="D30" s="675">
        <f>D29-D31</f>
        <v>13135318</v>
      </c>
      <c r="E30" s="676">
        <v>12904883</v>
      </c>
      <c r="F30" s="677">
        <f>E30*1.04</f>
        <v>13421078.32</v>
      </c>
      <c r="G30" s="677">
        <f aca="true" t="shared" si="11" ref="G30:O31">F30*1.02</f>
        <v>13689499.886400001</v>
      </c>
      <c r="H30" s="677">
        <f t="shared" si="11"/>
        <v>13963289.884128</v>
      </c>
      <c r="I30" s="677">
        <f t="shared" si="11"/>
        <v>14242555.681810562</v>
      </c>
      <c r="J30" s="677">
        <f t="shared" si="11"/>
        <v>14527406.795446772</v>
      </c>
      <c r="K30" s="677">
        <f t="shared" si="11"/>
        <v>14817954.931355707</v>
      </c>
      <c r="L30" s="677">
        <f t="shared" si="11"/>
        <v>15114314.029982822</v>
      </c>
      <c r="M30" s="677">
        <f t="shared" si="11"/>
        <v>15416600.31058248</v>
      </c>
      <c r="N30" s="677">
        <f t="shared" si="11"/>
        <v>15724932.31679413</v>
      </c>
      <c r="O30" s="677">
        <f t="shared" si="11"/>
        <v>16039430.963130012</v>
      </c>
    </row>
    <row r="31" spans="1:15" s="692" customFormat="1" ht="14.25" customHeight="1">
      <c r="A31" s="680" t="s">
        <v>235</v>
      </c>
      <c r="B31" s="681" t="s">
        <v>236</v>
      </c>
      <c r="C31" s="674">
        <v>4802254</v>
      </c>
      <c r="D31" s="675">
        <f>'[1]inwestycje'!E86</f>
        <v>5896188</v>
      </c>
      <c r="E31" s="676">
        <f>2500000+582000+600000+518900+2100000</f>
        <v>6300900</v>
      </c>
      <c r="F31" s="677">
        <f>2541804+400000</f>
        <v>2941804</v>
      </c>
      <c r="G31" s="677">
        <f t="shared" si="11"/>
        <v>3000640.08</v>
      </c>
      <c r="H31" s="677">
        <f t="shared" si="11"/>
        <v>3060652.8816</v>
      </c>
      <c r="I31" s="677">
        <f t="shared" si="11"/>
        <v>3121865.939232</v>
      </c>
      <c r="J31" s="677">
        <f t="shared" si="11"/>
        <v>3184303.2580166403</v>
      </c>
      <c r="K31" s="677">
        <f>J31*1.02</f>
        <v>3247989.323176973</v>
      </c>
      <c r="L31" s="677">
        <f>K31*1.02</f>
        <v>3312949.1096405126</v>
      </c>
      <c r="M31" s="677">
        <f>L31*1.02</f>
        <v>3379208.091833323</v>
      </c>
      <c r="N31" s="677">
        <f>M31*1.02</f>
        <v>3446792.2536699893</v>
      </c>
      <c r="O31" s="677">
        <f>N31*1.02</f>
        <v>3515728.0987433894</v>
      </c>
    </row>
    <row r="32" spans="1:15" s="693" customFormat="1" ht="22.5" customHeight="1">
      <c r="A32" s="672" t="s">
        <v>299</v>
      </c>
      <c r="B32" s="673" t="s">
        <v>362</v>
      </c>
      <c r="C32" s="674">
        <f aca="true" t="shared" si="12" ref="C32:J32">C25-C29</f>
        <v>-1448915</v>
      </c>
      <c r="D32" s="675">
        <f t="shared" si="12"/>
        <v>-3014429</v>
      </c>
      <c r="E32" s="676">
        <f t="shared" si="12"/>
        <v>-32814.584800001234</v>
      </c>
      <c r="F32" s="677">
        <f t="shared" si="12"/>
        <v>32671.209600001574</v>
      </c>
      <c r="G32" s="677">
        <f t="shared" si="12"/>
        <v>33324.63379199989</v>
      </c>
      <c r="H32" s="677">
        <f t="shared" si="12"/>
        <v>33991.12646783888</v>
      </c>
      <c r="I32" s="677">
        <f t="shared" si="12"/>
        <v>34670.948997199535</v>
      </c>
      <c r="J32" s="677">
        <f t="shared" si="12"/>
        <v>35364.367977142334</v>
      </c>
      <c r="K32" s="677">
        <f>K25-K29</f>
        <v>36071.65533668548</v>
      </c>
      <c r="L32" s="677">
        <f>L25-L29</f>
        <v>36793.0884434171</v>
      </c>
      <c r="M32" s="677">
        <f>M25-M29</f>
        <v>37528.95021228865</v>
      </c>
      <c r="N32" s="677">
        <f>N25-N29</f>
        <v>38279.529216531664</v>
      </c>
      <c r="O32" s="677">
        <f>O25-O29</f>
        <v>39045.119800861925</v>
      </c>
    </row>
    <row r="33" spans="1:15" s="664" customFormat="1" ht="11.25" customHeight="1">
      <c r="A33" s="672" t="s">
        <v>302</v>
      </c>
      <c r="B33" s="673" t="s">
        <v>352</v>
      </c>
      <c r="C33" s="674"/>
      <c r="D33" s="675"/>
      <c r="E33" s="676"/>
      <c r="F33" s="677"/>
      <c r="G33" s="677"/>
      <c r="H33" s="677"/>
      <c r="I33" s="677"/>
      <c r="J33" s="677"/>
      <c r="K33" s="677"/>
      <c r="L33" s="677"/>
      <c r="M33" s="677"/>
      <c r="N33" s="677"/>
      <c r="O33" s="677"/>
    </row>
    <row r="34" spans="1:15" s="679" customFormat="1" ht="15" customHeight="1">
      <c r="A34" s="672" t="s">
        <v>468</v>
      </c>
      <c r="B34" s="694" t="s">
        <v>108</v>
      </c>
      <c r="C34" s="695">
        <f aca="true" t="shared" si="13" ref="C34:J34">(C6)/C25</f>
        <v>0.2703758703503802</v>
      </c>
      <c r="D34" s="696">
        <f t="shared" si="13"/>
        <v>0.3152310499599896</v>
      </c>
      <c r="E34" s="697">
        <f t="shared" si="13"/>
        <v>0.2191251719097027</v>
      </c>
      <c r="F34" s="698">
        <f t="shared" si="13"/>
        <v>0.20605952668207497</v>
      </c>
      <c r="G34" s="698">
        <f t="shared" si="13"/>
        <v>0.15391667106889131</v>
      </c>
      <c r="H34" s="698">
        <f t="shared" si="13"/>
        <v>0.10524017805118305</v>
      </c>
      <c r="I34" s="698">
        <f t="shared" si="13"/>
        <v>0.05841339115294318</v>
      </c>
      <c r="J34" s="698">
        <f t="shared" si="13"/>
        <v>0.013382487409478151</v>
      </c>
      <c r="K34" s="698">
        <f>(K6)/K25</f>
        <v>0.010357962391236961</v>
      </c>
      <c r="L34" s="698">
        <f>(L6)/L25</f>
        <v>0.0074469010655952</v>
      </c>
      <c r="M34" s="698">
        <f>(M6)/M25</f>
        <v>0.004646016707590588</v>
      </c>
      <c r="N34" s="698">
        <f>(N6)/N25</f>
        <v>0.0019521078603321799</v>
      </c>
      <c r="O34" s="698">
        <f>(O6)/O25</f>
        <v>0</v>
      </c>
    </row>
    <row r="35" spans="1:15" s="679" customFormat="1" ht="27" customHeight="1">
      <c r="A35" s="672" t="s">
        <v>469</v>
      </c>
      <c r="B35" s="779" t="s">
        <v>109</v>
      </c>
      <c r="C35" s="695">
        <f aca="true" t="shared" si="14" ref="C35:J35">(C6-C11-C16+C23)/C25</f>
        <v>0.2703758703503802</v>
      </c>
      <c r="D35" s="696">
        <f t="shared" si="14"/>
        <v>0.3152310499599896</v>
      </c>
      <c r="E35" s="697">
        <f t="shared" si="14"/>
        <v>0.2191251719097027</v>
      </c>
      <c r="F35" s="698">
        <f t="shared" si="14"/>
        <v>0.20605952668207497</v>
      </c>
      <c r="G35" s="698">
        <f t="shared" si="14"/>
        <v>0.15391667106889131</v>
      </c>
      <c r="H35" s="698">
        <f t="shared" si="14"/>
        <v>0.10524017805118305</v>
      </c>
      <c r="I35" s="698">
        <f t="shared" si="14"/>
        <v>0.05841339115294318</v>
      </c>
      <c r="J35" s="698">
        <f t="shared" si="14"/>
        <v>0.013382487409478151</v>
      </c>
      <c r="K35" s="698">
        <f>(K6-K11-K16+K23)/K25</f>
        <v>0.010357962391236961</v>
      </c>
      <c r="L35" s="698">
        <f>(L6-L11-L16+L23)/L25</f>
        <v>0.0074469010655952</v>
      </c>
      <c r="M35" s="698">
        <f>(M6-M11-M16+M23)/M25</f>
        <v>0.004646016707590588</v>
      </c>
      <c r="N35" s="698">
        <f>(N6-N11-N16+N23)/N25</f>
        <v>0.0019521078603321799</v>
      </c>
      <c r="O35" s="698">
        <f>(O6-O11-O16+O23)/O25</f>
        <v>0</v>
      </c>
    </row>
    <row r="36" spans="1:15" s="679" customFormat="1" ht="15" customHeight="1">
      <c r="A36" s="672" t="s">
        <v>470</v>
      </c>
      <c r="B36" s="694" t="s">
        <v>472</v>
      </c>
      <c r="C36" s="695">
        <f aca="true" t="shared" si="15" ref="C36:J36">C17/C25</f>
        <v>0.052765907047190905</v>
      </c>
      <c r="D36" s="696">
        <f t="shared" si="15"/>
        <v>0.06853435242897316</v>
      </c>
      <c r="E36" s="697">
        <f t="shared" si="15"/>
        <v>0.057153382630686894</v>
      </c>
      <c r="F36" s="698">
        <f t="shared" si="15"/>
        <v>0.06470168866728591</v>
      </c>
      <c r="G36" s="698">
        <f t="shared" si="15"/>
        <v>0.059702939783693926</v>
      </c>
      <c r="H36" s="698">
        <f t="shared" si="15"/>
        <v>0.05410033863609987</v>
      </c>
      <c r="I36" s="698">
        <f t="shared" si="15"/>
        <v>0.050395731643492044</v>
      </c>
      <c r="J36" s="698">
        <f t="shared" si="15"/>
        <v>0.04642117232599781</v>
      </c>
      <c r="K36" s="698">
        <f>K17/K25</f>
        <v>0.0032040630330226333</v>
      </c>
      <c r="L36" s="698">
        <f>L17/L25</f>
        <v>0.003032919706715136</v>
      </c>
      <c r="M36" s="698">
        <f>M17/M25</f>
        <v>0.0028938046921564236</v>
      </c>
      <c r="N36" s="698">
        <f>N17/N25</f>
        <v>0.002732951004465052</v>
      </c>
      <c r="O36" s="698">
        <f>O17/O25</f>
        <v>0.001964866735236312</v>
      </c>
    </row>
    <row r="37" spans="1:15" s="679" customFormat="1" ht="26.25" thickBot="1">
      <c r="A37" s="672" t="s">
        <v>471</v>
      </c>
      <c r="B37" s="694" t="s">
        <v>111</v>
      </c>
      <c r="C37" s="695">
        <f aca="true" t="shared" si="16" ref="C37:J37">(C17-C23)/C25</f>
        <v>0.052765907047190905</v>
      </c>
      <c r="D37" s="699">
        <f t="shared" si="16"/>
        <v>0.06853435242897316</v>
      </c>
      <c r="E37" s="697">
        <f t="shared" si="16"/>
        <v>0.057153382630686894</v>
      </c>
      <c r="F37" s="698">
        <f t="shared" si="16"/>
        <v>0.06470168866728591</v>
      </c>
      <c r="G37" s="698">
        <f t="shared" si="16"/>
        <v>0.059702939783693926</v>
      </c>
      <c r="H37" s="698">
        <f t="shared" si="16"/>
        <v>0.05410033863609987</v>
      </c>
      <c r="I37" s="698">
        <f t="shared" si="16"/>
        <v>0.050395731643492044</v>
      </c>
      <c r="J37" s="698">
        <f t="shared" si="16"/>
        <v>0.04642117232599781</v>
      </c>
      <c r="K37" s="698">
        <f>(K17-K23)/K25</f>
        <v>0.0032040630330226333</v>
      </c>
      <c r="L37" s="698">
        <f>(L17-L23)/L25</f>
        <v>0.003032919706715136</v>
      </c>
      <c r="M37" s="698">
        <f>(M17-M23)/M25</f>
        <v>0.0028938046921564236</v>
      </c>
      <c r="N37" s="698">
        <f>(N17-N23)/N25</f>
        <v>0.002732951004465052</v>
      </c>
      <c r="O37" s="698">
        <f>(O17-O23)/O25</f>
        <v>0.001964866735236312</v>
      </c>
    </row>
    <row r="38" ht="6" customHeight="1"/>
    <row r="39" ht="11.25" customHeight="1">
      <c r="B39" s="700" t="s">
        <v>94</v>
      </c>
    </row>
  </sheetData>
  <mergeCells count="4">
    <mergeCell ref="A1:J1"/>
    <mergeCell ref="A3:A4"/>
    <mergeCell ref="B3:B4"/>
    <mergeCell ref="C3:C4"/>
  </mergeCells>
  <printOptions horizontalCentered="1" verticalCentered="1"/>
  <pageMargins left="0.2" right="0.19" top="0.8" bottom="0.21" header="0.34" footer="0.16"/>
  <pageSetup fitToHeight="1" fitToWidth="1" horizontalDpi="600" verticalDpi="600" orientation="landscape" paperSize="9" scale="78" r:id="rId1"/>
  <headerFooter alignWithMargins="0">
    <oddHeader>&amp;R&amp;"Arial CE,Pogrubiony"Załącznik Nr &amp;A
&amp;"Arial CE,Standardowy"do Uchwały Rady Gminy Miłkowice Nr XXXV/181/2009
z dnia 30 stycznia 2009 roku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showGridLines="0" defaultGridColor="0" colorId="8" workbookViewId="0" topLeftCell="A1">
      <selection activeCell="G11" sqref="G11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14.25390625" style="1" customWidth="1"/>
    <col min="4" max="4" width="14.875" style="1" customWidth="1"/>
    <col min="5" max="5" width="13.625" style="1" customWidth="1"/>
    <col min="6" max="6" width="15.625" style="0" customWidth="1"/>
    <col min="7" max="7" width="12.25390625" style="0" customWidth="1"/>
    <col min="8" max="8" width="15.875" style="0" customWidth="1"/>
  </cols>
  <sheetData>
    <row r="1" spans="1:8" ht="48.75" customHeight="1">
      <c r="A1" s="1120" t="s">
        <v>220</v>
      </c>
      <c r="B1" s="1120"/>
      <c r="C1" s="1120"/>
      <c r="D1" s="1120"/>
      <c r="E1" s="1120"/>
      <c r="F1" s="1120"/>
      <c r="G1" s="1120"/>
      <c r="H1" s="1120"/>
    </row>
    <row r="2" ht="12.75">
      <c r="H2" s="8" t="s">
        <v>321</v>
      </c>
    </row>
    <row r="3" spans="1:8" s="2" customFormat="1" ht="20.25" customHeight="1">
      <c r="A3" s="1108" t="s">
        <v>285</v>
      </c>
      <c r="B3" s="1121" t="s">
        <v>286</v>
      </c>
      <c r="C3" s="1119" t="s">
        <v>356</v>
      </c>
      <c r="D3" s="1119" t="s">
        <v>37</v>
      </c>
      <c r="E3" s="1119" t="s">
        <v>343</v>
      </c>
      <c r="F3" s="1119"/>
      <c r="G3" s="1119"/>
      <c r="H3" s="1119"/>
    </row>
    <row r="4" spans="1:8" s="2" customFormat="1" ht="20.25" customHeight="1">
      <c r="A4" s="1108"/>
      <c r="B4" s="1122"/>
      <c r="C4" s="1108"/>
      <c r="D4" s="1119"/>
      <c r="E4" s="1119" t="s">
        <v>354</v>
      </c>
      <c r="F4" s="1119" t="s">
        <v>289</v>
      </c>
      <c r="G4" s="1119"/>
      <c r="H4" s="1119" t="s">
        <v>355</v>
      </c>
    </row>
    <row r="5" spans="1:8" s="2" customFormat="1" ht="65.25" customHeight="1">
      <c r="A5" s="1108"/>
      <c r="B5" s="1123"/>
      <c r="C5" s="1108"/>
      <c r="D5" s="1119"/>
      <c r="E5" s="1119"/>
      <c r="F5" s="14" t="s">
        <v>36</v>
      </c>
      <c r="G5" s="14" t="s">
        <v>454</v>
      </c>
      <c r="H5" s="1119"/>
    </row>
    <row r="6" spans="1:8" ht="9" customHeight="1">
      <c r="A6" s="16">
        <v>1</v>
      </c>
      <c r="B6" s="16">
        <v>2</v>
      </c>
      <c r="C6" s="16">
        <v>4</v>
      </c>
      <c r="D6" s="16">
        <v>5</v>
      </c>
      <c r="E6" s="16">
        <v>6</v>
      </c>
      <c r="F6" s="16">
        <v>7</v>
      </c>
      <c r="G6" s="16">
        <v>8</v>
      </c>
      <c r="H6" s="16">
        <v>9</v>
      </c>
    </row>
    <row r="7" spans="1:8" ht="19.5" customHeight="1">
      <c r="A7" s="17">
        <v>750</v>
      </c>
      <c r="B7" s="17">
        <v>75011</v>
      </c>
      <c r="C7" s="90">
        <v>69122</v>
      </c>
      <c r="D7" s="93">
        <f aca="true" t="shared" si="0" ref="D7:D12">E7+H7</f>
        <v>69122</v>
      </c>
      <c r="E7" s="90">
        <f>F7</f>
        <v>69122</v>
      </c>
      <c r="F7" s="90">
        <v>69122</v>
      </c>
      <c r="G7" s="90"/>
      <c r="H7" s="90"/>
    </row>
    <row r="8" spans="1:8" ht="19.5" customHeight="1">
      <c r="A8" s="18">
        <v>751</v>
      </c>
      <c r="B8" s="18">
        <v>75101</v>
      </c>
      <c r="C8" s="66">
        <v>1000</v>
      </c>
      <c r="D8" s="66">
        <f t="shared" si="0"/>
        <v>1000</v>
      </c>
      <c r="E8" s="66">
        <f>F8</f>
        <v>1000</v>
      </c>
      <c r="F8" s="66">
        <v>1000</v>
      </c>
      <c r="G8" s="66"/>
      <c r="H8" s="66"/>
    </row>
    <row r="9" spans="1:8" ht="19.5" customHeight="1">
      <c r="A9" s="18">
        <v>754</v>
      </c>
      <c r="B9" s="18">
        <v>75414</v>
      </c>
      <c r="C9" s="66">
        <v>1000</v>
      </c>
      <c r="D9" s="66">
        <f t="shared" si="0"/>
        <v>1000</v>
      </c>
      <c r="E9" s="66">
        <v>1000</v>
      </c>
      <c r="F9" s="66"/>
      <c r="G9" s="66"/>
      <c r="H9" s="66"/>
    </row>
    <row r="10" spans="1:8" ht="19.5" customHeight="1">
      <c r="A10" s="18">
        <v>852</v>
      </c>
      <c r="B10" s="18">
        <v>85212</v>
      </c>
      <c r="C10" s="66">
        <v>1737000</v>
      </c>
      <c r="D10" s="66">
        <f>C10</f>
        <v>1737000</v>
      </c>
      <c r="E10" s="66">
        <f>D10</f>
        <v>1737000</v>
      </c>
      <c r="F10" s="66">
        <v>42138</v>
      </c>
      <c r="G10" s="66">
        <v>1684890</v>
      </c>
      <c r="H10" s="66"/>
    </row>
    <row r="11" spans="1:8" ht="19.5" customHeight="1">
      <c r="A11" s="18">
        <v>852</v>
      </c>
      <c r="B11" s="18">
        <v>85213</v>
      </c>
      <c r="C11" s="66">
        <v>17000</v>
      </c>
      <c r="D11" s="66">
        <f t="shared" si="0"/>
        <v>17000</v>
      </c>
      <c r="E11" s="66">
        <f>F11+G11</f>
        <v>17000</v>
      </c>
      <c r="F11" s="66"/>
      <c r="G11" s="66">
        <v>17000</v>
      </c>
      <c r="H11" s="66"/>
    </row>
    <row r="12" spans="1:8" ht="19.5" customHeight="1">
      <c r="A12" s="18">
        <v>852</v>
      </c>
      <c r="B12" s="18">
        <v>85214</v>
      </c>
      <c r="C12" s="66">
        <v>178000</v>
      </c>
      <c r="D12" s="66">
        <f t="shared" si="0"/>
        <v>178000</v>
      </c>
      <c r="E12" s="66">
        <f>F12+G12</f>
        <v>178000</v>
      </c>
      <c r="F12" s="66"/>
      <c r="G12" s="66">
        <v>178000</v>
      </c>
      <c r="H12" s="66"/>
    </row>
    <row r="13" spans="1:8" ht="19.5" customHeight="1">
      <c r="A13" s="1117" t="s">
        <v>361</v>
      </c>
      <c r="B13" s="1118"/>
      <c r="C13" s="92">
        <f aca="true" t="shared" si="1" ref="C13:H13">SUM(C7:C12)</f>
        <v>2003122</v>
      </c>
      <c r="D13" s="92">
        <f t="shared" si="1"/>
        <v>2003122</v>
      </c>
      <c r="E13" s="92">
        <f t="shared" si="1"/>
        <v>2003122</v>
      </c>
      <c r="F13" s="92">
        <f t="shared" si="1"/>
        <v>112260</v>
      </c>
      <c r="G13" s="92">
        <f t="shared" si="1"/>
        <v>1879890</v>
      </c>
      <c r="H13" s="92">
        <f t="shared" si="1"/>
        <v>0</v>
      </c>
    </row>
    <row r="15" ht="12.75">
      <c r="A15" s="46"/>
    </row>
    <row r="16" ht="12.75">
      <c r="B16" s="38" t="s">
        <v>94</v>
      </c>
    </row>
  </sheetData>
  <mergeCells count="10">
    <mergeCell ref="A1:H1"/>
    <mergeCell ref="E4:E5"/>
    <mergeCell ref="C3:C5"/>
    <mergeCell ref="D3:D5"/>
    <mergeCell ref="A3:A5"/>
    <mergeCell ref="B3:B5"/>
    <mergeCell ref="A13:B13"/>
    <mergeCell ref="F4:G4"/>
    <mergeCell ref="H4:H5"/>
    <mergeCell ref="E3:H3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&amp;R&amp;"Arial CE,Pogrubiony"Załącznik nr &amp;A&amp;"Arial CE,Standardowy"
doUchwały Rady Gminy Miłkowice Nr XXXV/181/2009
z dnia 30 stycznia 2009 roku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F2" sqref="F2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39.125" style="1" customWidth="1"/>
    <col min="5" max="5" width="12.625" style="1" customWidth="1"/>
    <col min="6" max="6" width="13.125" style="1" customWidth="1"/>
    <col min="7" max="7" width="12.875" style="1" customWidth="1"/>
    <col min="73" max="16384" width="9.125" style="1" customWidth="1"/>
  </cols>
  <sheetData>
    <row r="1" spans="1:7" ht="45" customHeight="1">
      <c r="A1" s="1120" t="s">
        <v>368</v>
      </c>
      <c r="B1" s="1120"/>
      <c r="C1" s="1120"/>
      <c r="D1" s="1120"/>
      <c r="E1" s="1120"/>
      <c r="F1" s="1120"/>
      <c r="G1" s="1120"/>
    </row>
    <row r="2" spans="1:7" ht="15.75">
      <c r="A2" s="11"/>
      <c r="B2" s="11"/>
      <c r="C2" s="11"/>
      <c r="D2" s="11"/>
      <c r="E2" s="11"/>
      <c r="F2" s="11"/>
      <c r="G2" s="11"/>
    </row>
    <row r="3" spans="1:7" ht="13.5" customHeight="1">
      <c r="A3" s="4"/>
      <c r="B3" s="4"/>
      <c r="C3" s="4"/>
      <c r="D3" s="4"/>
      <c r="E3" s="4"/>
      <c r="F3" s="4"/>
      <c r="G3" s="42" t="s">
        <v>321</v>
      </c>
    </row>
    <row r="4" spans="1:7" ht="20.25" customHeight="1">
      <c r="A4" s="1108" t="s">
        <v>285</v>
      </c>
      <c r="B4" s="1121" t="s">
        <v>286</v>
      </c>
      <c r="C4" s="1121" t="s">
        <v>364</v>
      </c>
      <c r="D4" s="1121" t="s">
        <v>283</v>
      </c>
      <c r="E4" s="1119" t="s">
        <v>366</v>
      </c>
      <c r="F4" s="1119" t="s">
        <v>367</v>
      </c>
      <c r="G4" s="1119" t="s">
        <v>569</v>
      </c>
    </row>
    <row r="5" spans="1:7" ht="18" customHeight="1">
      <c r="A5" s="1108"/>
      <c r="B5" s="1122"/>
      <c r="C5" s="1122"/>
      <c r="D5" s="1122"/>
      <c r="E5" s="1108"/>
      <c r="F5" s="1119"/>
      <c r="G5" s="1119"/>
    </row>
    <row r="6" spans="1:7" ht="69" customHeight="1">
      <c r="A6" s="1108"/>
      <c r="B6" s="1123"/>
      <c r="C6" s="1123"/>
      <c r="D6" s="1123"/>
      <c r="E6" s="1108"/>
      <c r="F6" s="1119"/>
      <c r="G6" s="1119"/>
    </row>
    <row r="7" spans="1:7" ht="8.25" customHeight="1">
      <c r="A7" s="16">
        <v>1</v>
      </c>
      <c r="B7" s="16">
        <v>2</v>
      </c>
      <c r="C7" s="16">
        <v>3</v>
      </c>
      <c r="D7" s="16"/>
      <c r="E7" s="16">
        <v>4</v>
      </c>
      <c r="F7" s="16">
        <v>5</v>
      </c>
      <c r="G7" s="16">
        <v>6</v>
      </c>
    </row>
    <row r="8" spans="1:7" ht="25.5">
      <c r="A8" s="27">
        <v>750</v>
      </c>
      <c r="B8" s="27">
        <v>75023</v>
      </c>
      <c r="C8" s="101" t="s">
        <v>486</v>
      </c>
      <c r="D8" s="102" t="s">
        <v>45</v>
      </c>
      <c r="E8" s="90">
        <v>7000</v>
      </c>
      <c r="F8" s="90">
        <v>8000</v>
      </c>
      <c r="G8" s="105">
        <f>F8/E8</f>
        <v>1.1428571428571428</v>
      </c>
    </row>
    <row r="9" spans="1:7" ht="38.25">
      <c r="A9" s="28">
        <v>852</v>
      </c>
      <c r="B9" s="28">
        <v>85212</v>
      </c>
      <c r="C9" s="60" t="s">
        <v>480</v>
      </c>
      <c r="D9" s="103" t="s">
        <v>46</v>
      </c>
      <c r="E9" s="66">
        <v>4000</v>
      </c>
      <c r="F9" s="66">
        <v>5000</v>
      </c>
      <c r="G9" s="167">
        <f>F9/E9</f>
        <v>1.25</v>
      </c>
    </row>
    <row r="10" spans="1:7" ht="19.5" customHeight="1">
      <c r="A10" s="18"/>
      <c r="B10" s="18"/>
      <c r="C10" s="18"/>
      <c r="D10" s="18"/>
      <c r="E10" s="66"/>
      <c r="F10" s="66"/>
      <c r="G10" s="106"/>
    </row>
    <row r="11" spans="1:7" ht="19.5" customHeight="1">
      <c r="A11" s="18"/>
      <c r="B11" s="18"/>
      <c r="C11" s="18"/>
      <c r="D11" s="18"/>
      <c r="E11" s="66"/>
      <c r="F11" s="66"/>
      <c r="G11" s="106"/>
    </row>
    <row r="12" spans="1:7" ht="19.5" customHeight="1">
      <c r="A12" s="19"/>
      <c r="B12" s="19"/>
      <c r="C12" s="19"/>
      <c r="D12" s="19"/>
      <c r="E12" s="91"/>
      <c r="F12" s="91"/>
      <c r="G12" s="107"/>
    </row>
    <row r="13" spans="1:7" ht="24.75" customHeight="1">
      <c r="A13" s="1117" t="s">
        <v>361</v>
      </c>
      <c r="B13" s="1118"/>
      <c r="C13" s="1118"/>
      <c r="D13" s="1118"/>
      <c r="E13" s="104">
        <f>SUM(E8:E12)</f>
        <v>11000</v>
      </c>
      <c r="F13" s="104">
        <f>SUM(F8:F12)</f>
        <v>13000</v>
      </c>
      <c r="G13" s="108">
        <f>F13/E13</f>
        <v>1.1818181818181819</v>
      </c>
    </row>
    <row r="15" ht="12.75">
      <c r="A15" s="46"/>
    </row>
    <row r="16" ht="12.75">
      <c r="B16" s="38" t="s">
        <v>94</v>
      </c>
    </row>
  </sheetData>
  <mergeCells count="9">
    <mergeCell ref="A13:D13"/>
    <mergeCell ref="C4:C6"/>
    <mergeCell ref="E4:E6"/>
    <mergeCell ref="A1:G1"/>
    <mergeCell ref="F4:F6"/>
    <mergeCell ref="A4:A6"/>
    <mergeCell ref="B4:B6"/>
    <mergeCell ref="G4:G6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&amp;R&amp;"Arial CE,Pogrubiony"Załącznik nr &amp;A&amp;"Arial CE,Standardowy"
do Uchwały Rady Gminy Miłkowice Nr XXXV/181/2009
z dnia 30 stycznia 2009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</cp:lastModifiedBy>
  <cp:lastPrinted>2009-02-04T09:25:31Z</cp:lastPrinted>
  <dcterms:created xsi:type="dcterms:W3CDTF">1998-12-09T13:02:10Z</dcterms:created>
  <dcterms:modified xsi:type="dcterms:W3CDTF">2009-02-09T06:43:33Z</dcterms:modified>
  <cp:category/>
  <cp:version/>
  <cp:contentType/>
  <cp:contentStatus/>
</cp:coreProperties>
</file>