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8580" activeTab="2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</sheets>
  <definedNames>
    <definedName name="_xlnm.Print_Area" localSheetId="0">'1'!$A$1:$P$154</definedName>
    <definedName name="_xlnm.Print_Area" localSheetId="2">'3'!$A$1:$L$77</definedName>
    <definedName name="_xlnm.Print_Area" localSheetId="3">'4'!$A$1:$J$199</definedName>
    <definedName name="_xlnm.Print_Area" localSheetId="4">'5'!$A$1:$K$114</definedName>
    <definedName name="_xlnm.Print_Area" localSheetId="5">'6'!$A$1:$G$35</definedName>
    <definedName name="_xlnm.Print_Area" localSheetId="6">'7'!$A$1:$K$33</definedName>
  </definedNames>
  <calcPr fullCalcOnLoad="1"/>
</workbook>
</file>

<file path=xl/sharedStrings.xml><?xml version="1.0" encoding="utf-8"?>
<sst xmlns="http://schemas.openxmlformats.org/spreadsheetml/2006/main" count="1441" uniqueCount="676">
  <si>
    <t xml:space="preserve"> *) Ze względu na wymogi zawarte w Programie Rozwoju Obszarów Wiejskich dotyczących kwestii finansowania inwestycji zalecono aby w źródłach finansowania wykazać w 100% posiadanie środków własnych. W związku z powyższym w tabeli w wyżej wymienionych pozycjach nie wykazano źródła finansowania ze środków z Unii Europejskiej. Jednocześnie należy podkreślić że  w ramach tych programów można otrzymać dofinansowanie do 75 % kosztów kwalifikowanych.</t>
  </si>
  <si>
    <t>Uzupełnienie powyższego zestawienia :</t>
  </si>
  <si>
    <t>Razem</t>
  </si>
  <si>
    <r>
      <t xml:space="preserve">Program:  </t>
    </r>
    <r>
      <rPr>
        <sz val="10"/>
        <rFont val="Arial"/>
        <family val="2"/>
      </rPr>
      <t xml:space="preserve">Regionalny Program Operacyjny  </t>
    </r>
  </si>
  <si>
    <r>
      <t xml:space="preserve">Działanie 4.2 </t>
    </r>
    <r>
      <rPr>
        <sz val="10"/>
        <rFont val="Arial"/>
        <family val="2"/>
      </rPr>
      <t>Infrastruktura wodno -ściekowa</t>
    </r>
  </si>
  <si>
    <r>
      <t xml:space="preserve">Program: </t>
    </r>
    <r>
      <rPr>
        <sz val="10"/>
        <rFont val="Arial"/>
        <family val="2"/>
      </rPr>
      <t>Regionalny Program Operacyjny</t>
    </r>
  </si>
  <si>
    <t>wartość zadania ogółem:</t>
  </si>
  <si>
    <t>dotychczas poniesione nakłady</t>
  </si>
  <si>
    <r>
      <t xml:space="preserve">Działanie:4.2 </t>
    </r>
    <r>
      <rPr>
        <sz val="10"/>
        <rFont val="Arial"/>
        <family val="2"/>
      </rPr>
      <t>Infrastruktura wodno - ściekowa</t>
    </r>
  </si>
  <si>
    <r>
      <t xml:space="preserve">Nazwa Projektu: </t>
    </r>
    <r>
      <rPr>
        <i/>
        <sz val="10"/>
        <color indexed="8"/>
        <rFont val="Arial"/>
        <family val="2"/>
      </rPr>
      <t>Budowa sieci kanalizacji sanitarnej wraz z przyłączami na terenie gminy Miłkowice dla miejscowości Ulesie i Lipce.</t>
    </r>
  </si>
  <si>
    <r>
      <t>Nazwa Projektu :</t>
    </r>
    <r>
      <rPr>
        <sz val="10"/>
        <color indexed="8"/>
        <rFont val="Arial"/>
        <family val="2"/>
      </rPr>
      <t xml:space="preserve"> </t>
    </r>
    <r>
      <rPr>
        <i/>
        <sz val="10"/>
        <color indexed="8"/>
        <rFont val="Arial"/>
        <family val="2"/>
      </rPr>
      <t>Budowa sieci  kanalizacji sanitarnej wraz z przyłączami dla miejscowości Gniewomirowice, Goślinów.</t>
    </r>
  </si>
  <si>
    <r>
      <t xml:space="preserve">Nazwa Projektu: </t>
    </r>
    <r>
      <rPr>
        <i/>
        <sz val="10"/>
        <color indexed="8"/>
        <rFont val="Arial"/>
        <family val="2"/>
      </rPr>
      <t>Budowa sieci  kanalizacji sanitarnej wraz z przyłączami dla miejscowości Jezierzany, Jakuszów, Pątnówek i Bobrów</t>
    </r>
  </si>
  <si>
    <r>
      <t xml:space="preserve">Program: </t>
    </r>
    <r>
      <rPr>
        <sz val="10"/>
        <rFont val="Arial"/>
        <family val="2"/>
      </rPr>
      <t>Program Rozwoju Obszarów Wiejskich</t>
    </r>
  </si>
  <si>
    <r>
      <t xml:space="preserve">Oś 3: </t>
    </r>
    <r>
      <rPr>
        <sz val="10"/>
        <rFont val="Arial"/>
        <family val="2"/>
      </rPr>
      <t>Podstawowe usługi dla gospodarki i ludności wiejskiej</t>
    </r>
  </si>
  <si>
    <r>
      <t>Działanie:</t>
    </r>
    <r>
      <rPr>
        <sz val="10"/>
        <rFont val="Arial"/>
        <family val="2"/>
      </rPr>
      <t xml:space="preserve"> Obszary wiejskie</t>
    </r>
  </si>
  <si>
    <r>
      <t xml:space="preserve">Nazwa projektu: </t>
    </r>
    <r>
      <rPr>
        <i/>
        <sz val="10"/>
        <color indexed="8"/>
        <rFont val="Arial"/>
        <family val="2"/>
      </rPr>
      <t>Budowa wodociągowu tranzytowego Niedźwiedzice-Miłkowice oraz udział w budowie Stacji uzdatniania Wody w Okmianach</t>
    </r>
  </si>
  <si>
    <t>w tys. złotych</t>
  </si>
  <si>
    <r>
      <t xml:space="preserve">Oś 3  : </t>
    </r>
    <r>
      <rPr>
        <sz val="10"/>
        <rFont val="Arial"/>
        <family val="2"/>
      </rPr>
      <t>Podstawowe usługi dla gospodarki i ludności wiejskiej</t>
    </r>
  </si>
  <si>
    <r>
      <t xml:space="preserve">Nazwa Projektu: </t>
    </r>
    <r>
      <rPr>
        <i/>
        <sz val="10"/>
        <color indexed="8"/>
        <rFont val="Arial"/>
        <family val="2"/>
      </rPr>
      <t>Modernizacja oczyszczalni ścieków w Miłkowicach z remontem sieci wodociagowej - I etap Modernizacja oczyszczalni scieków w Miłkowicach</t>
    </r>
  </si>
  <si>
    <t>010,01010</t>
  </si>
  <si>
    <t>921,92109</t>
  </si>
  <si>
    <t>921,92116</t>
  </si>
  <si>
    <t>926,92601</t>
  </si>
  <si>
    <t>801,80101</t>
  </si>
  <si>
    <t>900,90005</t>
  </si>
  <si>
    <t>600,60016</t>
  </si>
  <si>
    <t>900,90004</t>
  </si>
  <si>
    <r>
      <t xml:space="preserve">Nazwa Projektu: </t>
    </r>
    <r>
      <rPr>
        <i/>
        <sz val="10"/>
        <color indexed="8"/>
        <rFont val="Arial"/>
        <family val="2"/>
      </rPr>
      <t>Utworzenie centrum Edukacyjno - kulturalnego w Ulesiu</t>
    </r>
  </si>
  <si>
    <r>
      <t xml:space="preserve">Nazwa Projektu:  </t>
    </r>
    <r>
      <rPr>
        <i/>
        <sz val="10"/>
        <color indexed="8"/>
        <rFont val="Arial"/>
        <family val="2"/>
      </rPr>
      <t>Adaptacja budynku stołówki w Miłkowicach na bibliotekę</t>
    </r>
  </si>
  <si>
    <r>
      <t xml:space="preserve">Program: </t>
    </r>
    <r>
      <rPr>
        <sz val="10"/>
        <rFont val="Arial"/>
        <family val="2"/>
      </rPr>
      <t xml:space="preserve">Regionalny Program Operacyjny     </t>
    </r>
  </si>
  <si>
    <r>
      <t xml:space="preserve">Działanie 8.1 </t>
    </r>
    <r>
      <rPr>
        <sz val="10"/>
        <rFont val="Arial"/>
        <family val="2"/>
      </rPr>
      <t>Poprawa jakości opieki zdrowotnej</t>
    </r>
  </si>
  <si>
    <r>
      <t>Nazwa Projektu:</t>
    </r>
    <r>
      <rPr>
        <sz val="10"/>
        <color indexed="8"/>
        <rFont val="Arial"/>
        <family val="2"/>
      </rPr>
      <t xml:space="preserve"> </t>
    </r>
    <r>
      <rPr>
        <i/>
        <sz val="10"/>
        <color indexed="8"/>
        <rFont val="Arial"/>
        <family val="2"/>
      </rPr>
      <t>Budowa Gminnego Ośrodka Zdrowia w Miłkowicach wraz z zakupem wyposażenia i zagospodarowaniem placu.</t>
    </r>
  </si>
  <si>
    <r>
      <t>Priorytet 7:</t>
    </r>
    <r>
      <rPr>
        <sz val="10"/>
        <rFont val="Arial"/>
        <family val="2"/>
      </rPr>
      <t xml:space="preserve"> Rozbudowa i modernizacja infrastruktury edukacyjnej na Dolnym Ślasku Edukacja</t>
    </r>
  </si>
  <si>
    <r>
      <t>Działanie 7.2</t>
    </r>
    <r>
      <rPr>
        <sz val="10"/>
        <rFont val="Arial"/>
        <family val="2"/>
      </rPr>
      <t xml:space="preserve"> Poprawa i rozwój infrastruktury placówek przedszkolnych, szkolnych, gimnazjalnych i ponadgimnazjalnych</t>
    </r>
  </si>
  <si>
    <r>
      <t xml:space="preserve">Nazwa projektu: </t>
    </r>
    <r>
      <rPr>
        <i/>
        <sz val="10"/>
        <color indexed="8"/>
        <rFont val="Arial"/>
        <family val="2"/>
      </rPr>
      <t>Budowa małej infrastruktury ( budowa kompleksu boisk) i obiektów sportowych na terenie gminy ( cztery boiska wielofunkcyjne)</t>
    </r>
  </si>
  <si>
    <r>
      <t>Priorytet 7:</t>
    </r>
    <r>
      <rPr>
        <sz val="10"/>
        <rFont val="Arial"/>
        <family val="2"/>
      </rPr>
      <t xml:space="preserve"> Rozbudowa i modernizacja infrastruktury edukacyjnej na dolnym Śląsku Edukacja</t>
    </r>
  </si>
  <si>
    <r>
      <t>Nazwa projektu:</t>
    </r>
    <r>
      <rPr>
        <i/>
        <sz val="10"/>
        <color indexed="8"/>
        <rFont val="Arial"/>
        <family val="2"/>
      </rPr>
      <t xml:space="preserve"> Przebudowa obiektu sportowego w Miłkowicach wraz z budową szatni</t>
    </r>
  </si>
  <si>
    <t>L.p</t>
  </si>
  <si>
    <r>
      <t xml:space="preserve">Nazwa projektu: </t>
    </r>
    <r>
      <rPr>
        <i/>
        <sz val="10"/>
        <color indexed="8"/>
        <rFont val="Arial"/>
        <family val="2"/>
      </rPr>
      <t>Przebudowa szkoły podstawowej w Miłkowicach</t>
    </r>
  </si>
  <si>
    <t>DOCHODY OD OS. PRAW., OD OS. FIZ. I OD INNYCH JEDN. NIE POSIADAJĄCYCH OSOBOWOŚCI PRAWNEJ ORAZ WYDATKI ZWIĄZANE Z ICH POBOREM</t>
  </si>
  <si>
    <t>Ochrona różnorodności biologicznej i krajobrazu</t>
  </si>
  <si>
    <r>
      <t xml:space="preserve">Nazwa projektu: </t>
    </r>
    <r>
      <rPr>
        <i/>
        <sz val="10"/>
        <color indexed="8"/>
        <rFont val="Arial"/>
        <family val="2"/>
      </rPr>
      <t>Budowa wielofunkcyjnej hali sportowej przy szkole podstawowej w Rzeszotarach.</t>
    </r>
  </si>
  <si>
    <r>
      <t>Priorytet 3:</t>
    </r>
    <r>
      <rPr>
        <sz val="10"/>
        <rFont val="Arial"/>
        <family val="2"/>
      </rPr>
      <t xml:space="preserve"> Rozwój infrastruktury transportowej na Dolnym Śląsku Transport</t>
    </r>
  </si>
  <si>
    <r>
      <t>Działanie 3.1</t>
    </r>
    <r>
      <rPr>
        <sz val="10"/>
        <rFont val="Arial"/>
        <family val="2"/>
      </rPr>
      <t xml:space="preserve"> Transport drogowy</t>
    </r>
  </si>
  <si>
    <r>
      <t xml:space="preserve">Nazwa projektu: </t>
    </r>
    <r>
      <rPr>
        <i/>
        <sz val="10"/>
        <color indexed="8"/>
        <rFont val="Arial"/>
        <family val="2"/>
      </rPr>
      <t>Budowa drogi asfaltowej w Ulesiu : droga do obwodnicy Nr 3-1000 m.</t>
    </r>
  </si>
  <si>
    <r>
      <t xml:space="preserve">Nazwa Projektu: </t>
    </r>
    <r>
      <rPr>
        <i/>
        <sz val="10"/>
        <color indexed="8"/>
        <rFont val="Arial"/>
        <family val="2"/>
      </rPr>
      <t>Remont chodników w Miłkowicach ( kontynuacja 3000 m)</t>
    </r>
  </si>
  <si>
    <r>
      <t xml:space="preserve">Program: </t>
    </r>
    <r>
      <rPr>
        <sz val="10"/>
        <rFont val="Arial"/>
        <family val="2"/>
      </rPr>
      <t>Program Rozwoju obszarów wiejskich</t>
    </r>
  </si>
  <si>
    <r>
      <t xml:space="preserve">Priorytet 5: </t>
    </r>
    <r>
      <rPr>
        <sz val="10"/>
        <rFont val="Arial"/>
        <family val="2"/>
      </rPr>
      <t>Regionalna infrastruktura energetyczna przyjazna środowisku Energetyka</t>
    </r>
  </si>
  <si>
    <r>
      <t>Działanie 5.1</t>
    </r>
    <r>
      <rPr>
        <sz val="10"/>
        <rFont val="Arial"/>
        <family val="2"/>
      </rPr>
      <t xml:space="preserve"> Alternatywne źródła energii</t>
    </r>
  </si>
  <si>
    <r>
      <t xml:space="preserve">Nazwa projektu: </t>
    </r>
    <r>
      <rPr>
        <i/>
        <sz val="10"/>
        <color indexed="8"/>
        <rFont val="Arial"/>
        <family val="2"/>
      </rPr>
      <t>Budowa kotłowni ekologicznej dla kompleksu budynków publicznych w Miłkowicach</t>
    </r>
  </si>
  <si>
    <r>
      <t xml:space="preserve">Program: </t>
    </r>
    <r>
      <rPr>
        <sz val="10"/>
        <rFont val="Arial"/>
        <family val="2"/>
      </rPr>
      <t>Program Rozwoju Obszarów wiejskich</t>
    </r>
  </si>
  <si>
    <r>
      <t xml:space="preserve">Nazwa projektu: </t>
    </r>
    <r>
      <rPr>
        <i/>
        <sz val="10"/>
        <color indexed="8"/>
        <rFont val="Arial"/>
        <family val="2"/>
      </rPr>
      <t>Remont chodników w Siedliskach - 1500 m</t>
    </r>
  </si>
  <si>
    <r>
      <t xml:space="preserve">Nazwa Projektu:  </t>
    </r>
    <r>
      <rPr>
        <i/>
        <sz val="10"/>
        <color indexed="8"/>
        <rFont val="Arial"/>
        <family val="2"/>
      </rPr>
      <t>Rozbudowa terenów zielonych na terenie gminy ( parki, skwery, place zabaw)</t>
    </r>
  </si>
  <si>
    <t>Gazyfikacja</t>
  </si>
  <si>
    <t>Gazyfikacja gminy - I etap (Miłkowice, Siedliska, Jezierzany, Jakuszów, Patnówek, Rzeszotary)</t>
  </si>
  <si>
    <t>Gazyfikacja gminy - II etap (Bobrów, Dobrzejów, Głuchowice, Kochlice, Grzymalin, Gniewomirowice, Ulesie, Lipce, Studnica, Goslinów)</t>
  </si>
  <si>
    <r>
      <t xml:space="preserve">90 000                </t>
    </r>
    <r>
      <rPr>
        <sz val="8"/>
        <rFont val="Arial CE"/>
        <family val="0"/>
      </rPr>
      <t>(ujęte w Wykazie zadań inwest. na 2008 rok)</t>
    </r>
  </si>
  <si>
    <t>Wyszczególnienie</t>
  </si>
  <si>
    <t>4.</t>
  </si>
  <si>
    <t>Dział</t>
  </si>
  <si>
    <t>Rozdział</t>
  </si>
  <si>
    <t>§</t>
  </si>
  <si>
    <t>Treść</t>
  </si>
  <si>
    <t>w tym:</t>
  </si>
  <si>
    <t>ogółem</t>
  </si>
  <si>
    <t>Wydatki</t>
  </si>
  <si>
    <t>Przychody</t>
  </si>
  <si>
    <t>I.</t>
  </si>
  <si>
    <t>Zakłady budżetowe</t>
  </si>
  <si>
    <t>1.</t>
  </si>
  <si>
    <t>2.</t>
  </si>
  <si>
    <t>3.</t>
  </si>
  <si>
    <t>II.</t>
  </si>
  <si>
    <t>III.</t>
  </si>
  <si>
    <t>Nazwa</t>
  </si>
  <si>
    <t>5.</t>
  </si>
  <si>
    <t>Kredyty</t>
  </si>
  <si>
    <t>Pożyczki</t>
  </si>
  <si>
    <t>6.</t>
  </si>
  <si>
    <t>Nadwyżka budżetu z lat ubiegłych</t>
  </si>
  <si>
    <t>7.</t>
  </si>
  <si>
    <t>Przychody ogółem:</t>
  </si>
  <si>
    <t>§ 952</t>
  </si>
  <si>
    <t>§ 957</t>
  </si>
  <si>
    <t>Spłaty pożyczek udzielonych</t>
  </si>
  <si>
    <t>§ 955</t>
  </si>
  <si>
    <t>8.</t>
  </si>
  <si>
    <t>Spłaty pożyczek</t>
  </si>
  <si>
    <t>§ 992</t>
  </si>
  <si>
    <t>§ 995</t>
  </si>
  <si>
    <t>§ 994</t>
  </si>
  <si>
    <t>§ 982</t>
  </si>
  <si>
    <t>Rozchody z tytułu innych rozliczeń</t>
  </si>
  <si>
    <t>Wydatki bieżące</t>
  </si>
  <si>
    <t>IV.</t>
  </si>
  <si>
    <t>Plan przychodów i wydatków Gminnego Funduszu</t>
  </si>
  <si>
    <t>Wydatki majątkowe</t>
  </si>
  <si>
    <t>w złotych</t>
  </si>
  <si>
    <t>Ogółem kwota dotacji</t>
  </si>
  <si>
    <t>Kwota dotacji</t>
  </si>
  <si>
    <t>Ochrony Środowiska i Gospodarki Wodnej</t>
  </si>
  <si>
    <t>§ 991</t>
  </si>
  <si>
    <t>x</t>
  </si>
  <si>
    <t>Inne źródła (wolne środki)</t>
  </si>
  <si>
    <t>§ 903</t>
  </si>
  <si>
    <t>§ 951</t>
  </si>
  <si>
    <t>Spłaty kredytów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</si>
  <si>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</si>
  <si>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</si>
  <si>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</si>
  <si>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</si>
  <si>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w  złotych</t>
  </si>
  <si>
    <t>Lp.</t>
  </si>
  <si>
    <t>Stan środków obrotowych na początek roku</t>
  </si>
  <si>
    <t>Stan środków obrotowych na koniec roku</t>
  </si>
  <si>
    <t>§ 931</t>
  </si>
  <si>
    <t>Nazwa jednostki
 otrzymującej dotację</t>
  </si>
  <si>
    <t>Zakres</t>
  </si>
  <si>
    <t>Projekt</t>
  </si>
  <si>
    <t>Kategoria interwencji funduszy strukturalnych</t>
  </si>
  <si>
    <t>z tego:</t>
  </si>
  <si>
    <t>1.1</t>
  </si>
  <si>
    <t>1.2</t>
  </si>
  <si>
    <t>2.1</t>
  </si>
  <si>
    <t>2.2</t>
  </si>
  <si>
    <t>Dotacje</t>
  </si>
  <si>
    <t>Ogółem wydatki</t>
  </si>
  <si>
    <t>Wydatki
z tytułu poręczeń
i gwarancji</t>
  </si>
  <si>
    <t>pożyczek</t>
  </si>
  <si>
    <t>kredytów</t>
  </si>
  <si>
    <t>Prognozowane dochody budżetowe</t>
  </si>
  <si>
    <t>Relacje do dochodów (w %):</t>
  </si>
  <si>
    <t>dotacje</t>
  </si>
  <si>
    <t>Wydatki
bieżące</t>
  </si>
  <si>
    <t>Wydatki
majątkowe</t>
  </si>
  <si>
    <t>Dotacje
ogółem</t>
  </si>
  <si>
    <t>Dochody ogółem</t>
  </si>
  <si>
    <t>kredyty
i pożyczki</t>
  </si>
  <si>
    <t>Pożyczki na finansowanie zadań realizowanych
z udziałem środków pochodzących z budżetu UE</t>
  </si>
  <si>
    <t>Prywatyzacja majątku jst</t>
  </si>
  <si>
    <t>Rozchody ogółem:</t>
  </si>
  <si>
    <t>Ogółem</t>
  </si>
  <si>
    <t>Prognozowane wydatki budżetowe</t>
  </si>
  <si>
    <t>Prognozowany wynik finansowy</t>
  </si>
  <si>
    <t>Źródło dochodów</t>
  </si>
  <si>
    <t>Wydatki na obsługę długu</t>
  </si>
  <si>
    <t>Jednostka organizacyjna realizująca program lub koordynująca wykonanie programu</t>
  </si>
  <si>
    <t>dochody własne jst</t>
  </si>
  <si>
    <t>Nazwa zadania inwestycyjnego</t>
  </si>
  <si>
    <t xml:space="preserve">§ 944 </t>
  </si>
  <si>
    <t>świadczenia społeczne</t>
  </si>
  <si>
    <t>Dochody własne jednostek budżetowych</t>
  </si>
  <si>
    <t>na inwestycje</t>
  </si>
  <si>
    <t>Rozliczenia
z budżetem
z tytułu wpłat nadwyżek środków za 2006 r.</t>
  </si>
  <si>
    <t>Papiery wartościowe (obligacje)</t>
  </si>
  <si>
    <t>Wykup papierów wartościowych (obligacji)</t>
  </si>
  <si>
    <t>2.1.1</t>
  </si>
  <si>
    <t>2.1.2</t>
  </si>
  <si>
    <t>2.1.3</t>
  </si>
  <si>
    <t>1.1.1</t>
  </si>
  <si>
    <t>1.1.2</t>
  </si>
  <si>
    <t>1.1.3</t>
  </si>
  <si>
    <t>1.2.1</t>
  </si>
  <si>
    <t>1.2.2</t>
  </si>
  <si>
    <t>1.2.3</t>
  </si>
  <si>
    <t>Spłata odsetek i dyskonta</t>
  </si>
  <si>
    <t>udzielonych poręczeń</t>
  </si>
  <si>
    <t>wykup papierów wartościowych</t>
  </si>
  <si>
    <t>6.1</t>
  </si>
  <si>
    <t>6.2</t>
  </si>
  <si>
    <t>6.3</t>
  </si>
  <si>
    <t>6.4</t>
  </si>
  <si>
    <r>
      <t xml:space="preserve">spłaty zadłużenia </t>
    </r>
    <r>
      <rPr>
        <sz val="10"/>
        <rFont val="Arial"/>
        <family val="2"/>
      </rPr>
      <t>(art. 169 ust. 1)        (2:3)</t>
    </r>
  </si>
  <si>
    <t>010</t>
  </si>
  <si>
    <t>01095</t>
  </si>
  <si>
    <t>0870</t>
  </si>
  <si>
    <t>ROLNICTWO I ŁOWIECTWO</t>
  </si>
  <si>
    <t>Pozostała działalność</t>
  </si>
  <si>
    <t xml:space="preserve">Wpływy ze sprzedaży składników majątkowych </t>
  </si>
  <si>
    <t>0830</t>
  </si>
  <si>
    <t>WYTWARZANIE I ZAOPATRYWANIE W ENERGIĘ ELEKTRYCZNĄ, GAZ I WODĘ</t>
  </si>
  <si>
    <t>Dostarczanie wody</t>
  </si>
  <si>
    <t>0970</t>
  </si>
  <si>
    <t>Wpływy z różnych dochodów</t>
  </si>
  <si>
    <t>GOSPODARKA MIESZKANIOWA</t>
  </si>
  <si>
    <t>Gospodarka gruntami i nieruchomościami</t>
  </si>
  <si>
    <t>0470</t>
  </si>
  <si>
    <t>Wpływy z opłat za zarząd, użytkowanie i użytkowanie wieczyste</t>
  </si>
  <si>
    <t>0690</t>
  </si>
  <si>
    <t>Wpływy z różnych opłat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</si>
  <si>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</si>
  <si>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</si>
  <si>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0920</t>
  </si>
  <si>
    <t>Pozostałe odsetki</t>
  </si>
  <si>
    <t>ADMINISTRACJA PUBLICZNA</t>
  </si>
  <si>
    <t>Urzędy gmin</t>
  </si>
  <si>
    <t>0960</t>
  </si>
  <si>
    <t>Otrzymane spadki, zapisy, i darowizny w postaci pieniężnej</t>
  </si>
  <si>
    <t>Wpływy z podatku dochodowego od osób fizycznych</t>
  </si>
  <si>
    <t>0350</t>
  </si>
  <si>
    <t>Podatek od działalności gospodarczej osób fizycznych opłacany w formie karty podatkowej</t>
  </si>
  <si>
    <t>Wpływy z podatku rolnego, podatku leśnego, podatku od czynności cywilnoprawnych, podatków i opłat lokalnych od osób prawnych i innych jednostek organizacyjnych</t>
  </si>
  <si>
    <t>0310</t>
  </si>
  <si>
    <t>0320</t>
  </si>
  <si>
    <t>0330</t>
  </si>
  <si>
    <t>0340</t>
  </si>
  <si>
    <t>0500</t>
  </si>
  <si>
    <t>0910</t>
  </si>
  <si>
    <t>Podatek od nieruchomości</t>
  </si>
  <si>
    <t>Podatek rolny</t>
  </si>
  <si>
    <t>Podatek leśny</t>
  </si>
  <si>
    <t>Podatek od środków transportowych</t>
  </si>
  <si>
    <t>Podatek od czynności cywilnoprawnych</t>
  </si>
  <si>
    <t>Odsetki od nieterminowych wpłat z tytułu podatków i opłat</t>
  </si>
  <si>
    <t>Wpływy z podatku rolnego, podatku leśnego, podatku od spadków i darowizn, podatku od czynności cywilnoprawnych oraz podatków i opłat lokalnych od osób fizycznych</t>
  </si>
  <si>
    <t>0360</t>
  </si>
  <si>
    <t>Podatek od spadków i darowizn</t>
  </si>
  <si>
    <t>0430</t>
  </si>
  <si>
    <t>Wpływy z opłaty skarbowej</t>
  </si>
  <si>
    <t>Wpływy z innych opłat stanowiących dochody jednostek samorządu terytorialnego na podstawie ustaw</t>
  </si>
  <si>
    <t>0410</t>
  </si>
  <si>
    <t>0480</t>
  </si>
  <si>
    <t>Wpływy z opłat za zezwolenia na sprzedaż alkoholu</t>
  </si>
  <si>
    <t>Udziały gmin w podatkach stanowiących dochód państwa</t>
  </si>
  <si>
    <t>Podatek dochodowy od osób fizycznych</t>
  </si>
  <si>
    <t>Podatek dochodowy od osób prawnych</t>
  </si>
  <si>
    <t>POMOC SPOŁECZNA</t>
  </si>
  <si>
    <t>Ośrodki pomocy społecznej</t>
  </si>
  <si>
    <t>Usługi opiekuńcze i specjalistyczne usługi opiekuńcze</t>
  </si>
  <si>
    <t>Wpływy z usług</t>
  </si>
  <si>
    <t>01010</t>
  </si>
  <si>
    <t>Infrastruktura wodociągowa i sanitacyjna wsi</t>
  </si>
  <si>
    <t>6269</t>
  </si>
  <si>
    <t>Dotacje otrzymane z funduszy celowych na finansowanie i dofinansowanie kosztów realizacji inwestycji i zakupów inwestycyjnych jednostek sektora finansów publicznych</t>
  </si>
  <si>
    <t>Środki na dofinansowanie własnych inwestycji gmin, powiatów, samorządów województw pozyskane z innych źródeł</t>
  </si>
  <si>
    <t>6260</t>
  </si>
  <si>
    <t>01039</t>
  </si>
  <si>
    <t>Pozostałe zadania Wpólnej Polityki Rolnej</t>
  </si>
  <si>
    <t>Urzędy wojewódzkie</t>
  </si>
  <si>
    <t>2010</t>
  </si>
  <si>
    <t>Dotacje celowe otrzymane z budżetu państwa na realizację zadań bieżących z zakresu administracji rządowej oraz innych zadań zadań zleconych gminie ustawami</t>
  </si>
  <si>
    <t>URZĘDY NACZELNYCH ORGANÓW WŁADZY PAŃSTWOWEJ, KONTROLI I OCHRONY PRAWA ORAZ SĄDOWNICTWA</t>
  </si>
  <si>
    <t xml:space="preserve">Urzędy naczelnych organów władzy państwowej, kontroli i ochrony prawa </t>
  </si>
  <si>
    <t>OBRONA NARODOWA</t>
  </si>
  <si>
    <t>Pozostałe wydatki obronne</t>
  </si>
  <si>
    <t>BEZPIECZEŃSTWO PUBLICZNE I OCHRONA PRZECIWPOŻAROWA</t>
  </si>
  <si>
    <t>Obrona cywilna</t>
  </si>
  <si>
    <t>2360</t>
  </si>
  <si>
    <t>Dochody jednostek samorządu terytorialnego związane z realizacją zadań z zakresu administracji rządowej oraz innych zadań zleconych ustawami</t>
  </si>
  <si>
    <t>Część oświatowa subwencji ogólnej dla jednostek samorządu terytorialnego</t>
  </si>
  <si>
    <t>2920</t>
  </si>
  <si>
    <t>Subwencje ogólne z budżetu państwa</t>
  </si>
  <si>
    <t>Część wyrównawcza subwencji ogólnej dla gmin</t>
  </si>
  <si>
    <t>Część równoważąca subwencji ogólnej dla gmin</t>
  </si>
  <si>
    <t>Różne rozliczenia finansowe</t>
  </si>
  <si>
    <t>801</t>
  </si>
  <si>
    <t>80101</t>
  </si>
  <si>
    <t>Szkoły podstawowe</t>
  </si>
  <si>
    <t>Środki na dofinansowanie własnych zadań bieżących gmin, powiatów, samorządów województw pozyskane z innych źródeł</t>
  </si>
  <si>
    <t>80110</t>
  </si>
  <si>
    <t>Gimnazja</t>
  </si>
  <si>
    <t>Świadczenia rodzinne oraz składki na ubezpieczenia emerytalne i rentowe z ubezpieczenia społecznego</t>
  </si>
  <si>
    <t>Składki na ubezpieczenia zdrowotne opłacane za osoby pobierające niektóre świadczenia z pomocy społecznej oraz niektóre świadczenia rodzinne</t>
  </si>
  <si>
    <t>Zasiłki i pomoc w naturze oraz składki na ubezpieczenia społeczne</t>
  </si>
  <si>
    <t>Pomoc materialna dla uczniów</t>
  </si>
  <si>
    <t>dotacje celowe z budżetu państwa na zadania zlecone</t>
  </si>
  <si>
    <t>subwencje i dotacje na realizację zadań własnych gmin</t>
  </si>
  <si>
    <t>RÓŻNE ROZLICZENIA</t>
  </si>
  <si>
    <t>OŚWIATA I WYCHOWANIE</t>
  </si>
  <si>
    <t>2030</t>
  </si>
  <si>
    <t>Dotacje celowe otrzymane z budżetu państwa na realizację własnych zadań bieżących gmin</t>
  </si>
  <si>
    <t>OCHRONA ZDROWIA</t>
  </si>
  <si>
    <t>Lecznictwo ambulatoryjne</t>
  </si>
  <si>
    <t>EDUKACYJNA OPIEKA WYCHOWAWCZA</t>
  </si>
  <si>
    <t>GOSPODARKA KOMUNALNA I OCHRONA ŚRODOWISKA</t>
  </si>
  <si>
    <t>Gospodarka ściekowa i ochrona wód</t>
  </si>
  <si>
    <t>KULTURA I OCHRONA DZIEDZICTWA NARODOWEGO</t>
  </si>
  <si>
    <t>Domy i ośrodki kultury, świetlice i kluby</t>
  </si>
  <si>
    <t>Wybory do rad gmin, rad powiatów i sejmików województw, wybory wójtów, burmistrzów i prezydentów miast oraz referenda gminne, powiatowe i wojewódzkie</t>
  </si>
  <si>
    <t>80195</t>
  </si>
  <si>
    <t xml:space="preserve">Biblioteki </t>
  </si>
  <si>
    <t>Biblioteki</t>
  </si>
  <si>
    <t>Wynagro-
dzenia i pochodne</t>
  </si>
  <si>
    <t>% (rubr. 5:4)</t>
  </si>
  <si>
    <t>01008</t>
  </si>
  <si>
    <t>Melioracje wodne</t>
  </si>
  <si>
    <t>01011</t>
  </si>
  <si>
    <t>Stacja Chemiczno-Rolnicza</t>
  </si>
  <si>
    <t>01030</t>
  </si>
  <si>
    <t>Izby rolnicze</t>
  </si>
  <si>
    <t>400</t>
  </si>
  <si>
    <t>40002</t>
  </si>
  <si>
    <t>600</t>
  </si>
  <si>
    <t>TRANSPORT I ŁĄCZNOŚĆ</t>
  </si>
  <si>
    <t>60016</t>
  </si>
  <si>
    <t>Drogi publiczne gminne</t>
  </si>
  <si>
    <t>700</t>
  </si>
  <si>
    <t>70005</t>
  </si>
  <si>
    <t>Gospodarka gruntami</t>
  </si>
  <si>
    <t>70095</t>
  </si>
  <si>
    <t>710</t>
  </si>
  <si>
    <t>DZIAŁALNOŚĆ USŁUGOWA</t>
  </si>
  <si>
    <t>71004</t>
  </si>
  <si>
    <t>Plany zagospodarowania przestrzennego</t>
  </si>
  <si>
    <t>750</t>
  </si>
  <si>
    <t>75011</t>
  </si>
  <si>
    <t>75022</t>
  </si>
  <si>
    <t>Rady gmin</t>
  </si>
  <si>
    <t>75023</t>
  </si>
  <si>
    <t>75075</t>
  </si>
  <si>
    <t>Promocja jednostek samorządu terytorialnego</t>
  </si>
  <si>
    <t>751</t>
  </si>
  <si>
    <t>75101</t>
  </si>
  <si>
    <t>Urzędy naczelnych organów władzy państwowej, kontroli i ochrony prawa</t>
  </si>
  <si>
    <t>752</t>
  </si>
  <si>
    <t>75212</t>
  </si>
  <si>
    <t>754</t>
  </si>
  <si>
    <t>75403</t>
  </si>
  <si>
    <t>Jednostki terenowe Policji</t>
  </si>
  <si>
    <t>75412</t>
  </si>
  <si>
    <t>Ochotnicze straże pożarne</t>
  </si>
  <si>
    <t>75414</t>
  </si>
  <si>
    <t>756</t>
  </si>
  <si>
    <t>DOCHODY OD OSÓB PRAWNYCH, OSÓB FIZYCZNYCH I OD INNYCH JEDNOSTEK NIEPOSIADAJĄCYCH OSOBOWOŚCI PRAWNEJ ORAZ WYDATKI ZWIĄZANE Z ICH POBOREM</t>
  </si>
  <si>
    <t>75647</t>
  </si>
  <si>
    <t>Pobór podatków, opłat i niepodatkowych należności budżetowych</t>
  </si>
  <si>
    <t>757</t>
  </si>
  <si>
    <t>OBSŁUGA DŁUGU PUBLICZNEGO</t>
  </si>
  <si>
    <t>75702</t>
  </si>
  <si>
    <t>Obsługa papierów wartościowych, kredytów i pożyczek jednostek samorządu gminnego</t>
  </si>
  <si>
    <t>758</t>
  </si>
  <si>
    <t>75818</t>
  </si>
  <si>
    <t>Rezerwy ogólne i celowe</t>
  </si>
  <si>
    <t>Szkoły podstawowe, w tym:</t>
  </si>
  <si>
    <t xml:space="preserve">   -    Szkoła Podstawowa w Miłkowicach</t>
  </si>
  <si>
    <t xml:space="preserve">   -    Szkoła Podstawowa w Rzeszotarach</t>
  </si>
  <si>
    <t>80103</t>
  </si>
  <si>
    <t>Oddziały przedszkolne w szkołach, w tym:</t>
  </si>
  <si>
    <t>80113</t>
  </si>
  <si>
    <t>Dowożenie uczniów do szkół</t>
  </si>
  <si>
    <t>851</t>
  </si>
  <si>
    <t>85121</t>
  </si>
  <si>
    <t>85153</t>
  </si>
  <si>
    <t>Zwalczanie narkomanii</t>
  </si>
  <si>
    <t>85154</t>
  </si>
  <si>
    <t>Przeciwdziałanie alkoholizmowi</t>
  </si>
  <si>
    <t>852</t>
  </si>
  <si>
    <t>85202</t>
  </si>
  <si>
    <t>Domy pomocy społecznej</t>
  </si>
  <si>
    <t>85212</t>
  </si>
  <si>
    <t>85213</t>
  </si>
  <si>
    <t>85214</t>
  </si>
  <si>
    <t>85215</t>
  </si>
  <si>
    <t>Dodatki mieszkaniowe</t>
  </si>
  <si>
    <t>85219</t>
  </si>
  <si>
    <t>85295</t>
  </si>
  <si>
    <t>854</t>
  </si>
  <si>
    <t>020</t>
  </si>
  <si>
    <t>02001</t>
  </si>
  <si>
    <t>Gospodarka leśna</t>
  </si>
  <si>
    <t>LEŚNICTWO</t>
  </si>
  <si>
    <t>dochody z majątku gminy</t>
  </si>
  <si>
    <t>85404</t>
  </si>
  <si>
    <t>Wczesne wspomaganie rozwoju dziecka</t>
  </si>
  <si>
    <t>85412</t>
  </si>
  <si>
    <t>Kolonie i obozy oraz inne formy wypoczynku dzieci i młodzieży szkolnej, a także szkolenia młodzieży</t>
  </si>
  <si>
    <t>85415</t>
  </si>
  <si>
    <t>Dokształcanie i doskonalenie nauczycieli</t>
  </si>
  <si>
    <t>900</t>
  </si>
  <si>
    <t>Ochrona powietrza atmosferycznego i klimatu</t>
  </si>
  <si>
    <t>90002</t>
  </si>
  <si>
    <t>Gospodarka odpadami</t>
  </si>
  <si>
    <t>90005</t>
  </si>
  <si>
    <t>90095</t>
  </si>
  <si>
    <t>Pozostała działalnosć</t>
  </si>
  <si>
    <t>921</t>
  </si>
  <si>
    <t>92109</t>
  </si>
  <si>
    <t>92116</t>
  </si>
  <si>
    <t>92120</t>
  </si>
  <si>
    <t>Ochrona i opieka nad zabytkami</t>
  </si>
  <si>
    <t>926</t>
  </si>
  <si>
    <t>KULTURA FIZYCZNA I SPORT</t>
  </si>
  <si>
    <t>92605</t>
  </si>
  <si>
    <t>Zadania w zakresie kultury fizycznej i sportu</t>
  </si>
  <si>
    <t>75109</t>
  </si>
  <si>
    <t>90015</t>
  </si>
  <si>
    <t>Oświetlenie ulic, placów i dróg</t>
  </si>
  <si>
    <t>80104</t>
  </si>
  <si>
    <t xml:space="preserve">Przedszkola </t>
  </si>
  <si>
    <t xml:space="preserve">   -    Gimnazjum w Miłkowicach</t>
  </si>
  <si>
    <t>80146</t>
  </si>
  <si>
    <t>Drogi publiczne powiatowe</t>
  </si>
  <si>
    <t>60014</t>
  </si>
  <si>
    <t>wynagrodzenia i pochodne od wynagrodzeń</t>
  </si>
  <si>
    <t>Wydatki
ogółem
(6+9)</t>
  </si>
  <si>
    <t>Plan przychodów i wydatków zakładów budżetowych  oraz dochodów i wydatków</t>
  </si>
  <si>
    <t>1. Zaopatrywanie w wodę</t>
  </si>
  <si>
    <t>2. Gospodarka mieszkaniowa</t>
  </si>
  <si>
    <t>3. Odprowadzanie ścieków</t>
  </si>
  <si>
    <t>4. Zarządzanie cmentarzami</t>
  </si>
  <si>
    <r>
      <t xml:space="preserve">z tego: </t>
    </r>
    <r>
      <rPr>
        <b/>
        <i/>
        <sz val="10"/>
        <rFont val="Arial CE"/>
        <family val="0"/>
      </rPr>
      <t>Gminny Zakład Gospodarki Komunalnej w Miłkowicach</t>
    </r>
  </si>
  <si>
    <t>wpłata do budżetu</t>
  </si>
  <si>
    <t>wynagrodzenia i pochodne</t>
  </si>
  <si>
    <t>Gminny Zakład Gospodarki komunalnej w Miłkowicach</t>
  </si>
  <si>
    <r>
      <t xml:space="preserve">dotacja do 1 m </t>
    </r>
    <r>
      <rPr>
        <vertAlign val="superscript"/>
        <sz val="10"/>
        <rFont val="Arial CE"/>
        <family val="0"/>
      </rPr>
      <t>3</t>
    </r>
    <r>
      <rPr>
        <sz val="10"/>
        <rFont val="Arial CE"/>
        <family val="0"/>
      </rPr>
      <t xml:space="preserve"> wody</t>
    </r>
  </si>
  <si>
    <t>Gminny Zakład Opieki Zdrowotnej w Miłkowicach</t>
  </si>
  <si>
    <t>Gminny Ośrodek Kultury i Sportu w Miłkowicach</t>
  </si>
  <si>
    <t>prowadzenie Edukacyjnego Centrum Informacyjnego</t>
  </si>
  <si>
    <t>na realizację zadań gminy z zakresu kultury fizycznej i sportu</t>
  </si>
  <si>
    <t>na realizację zadań gminy z zakresu bibliotek gminnych</t>
  </si>
  <si>
    <t>na realizację zadań gminy z zakresu krzewienia kultury</t>
  </si>
  <si>
    <t>wpływy z różnych opłat (dochody z tytułu opłat za wydawanie dowodów osobistych)</t>
  </si>
  <si>
    <t>2709</t>
  </si>
  <si>
    <t>2700</t>
  </si>
  <si>
    <t>wpływy z różnych dochodów (dochody z tytułu odzyskanych od dłużnika zaliczek alimentacyjnych)</t>
  </si>
  <si>
    <t>Dochody
ogółem</t>
  </si>
  <si>
    <t>Dochody  ogółem:</t>
  </si>
  <si>
    <t>Wydatki  ogółem:</t>
  </si>
  <si>
    <t>upowszechnianie kultury fizycznej sportu na terenie gminy</t>
  </si>
  <si>
    <t>na realizację programów profilaktyki rozwiązywania problemów alkoholowych</t>
  </si>
  <si>
    <t>X</t>
  </si>
  <si>
    <t>Przewidywane nakłady i źródła finansowania</t>
  </si>
  <si>
    <t>źródło</t>
  </si>
  <si>
    <t>2009 rok</t>
  </si>
  <si>
    <t>Wydatki  majątkowe  razem:</t>
  </si>
  <si>
    <t>Wartość zadania:</t>
  </si>
  <si>
    <t xml:space="preserve"> środki z budżetu j.s.t.</t>
  </si>
  <si>
    <t>kredyty i pożyczki</t>
  </si>
  <si>
    <t xml:space="preserve"> środki z UE</t>
  </si>
  <si>
    <t>851, 85121</t>
  </si>
  <si>
    <t>Wartość zadania</t>
  </si>
  <si>
    <t>środki z UE</t>
  </si>
  <si>
    <t>środki budżetu j.s.t</t>
  </si>
  <si>
    <t>środki budżetu krajowego</t>
  </si>
  <si>
    <t>Ogółem:</t>
  </si>
  <si>
    <t>Klasyfikacja (dział, rozdział)</t>
  </si>
  <si>
    <r>
      <t>Dział 900:</t>
    </r>
    <r>
      <rPr>
        <sz val="10"/>
        <rFont val="Arial CE"/>
        <family val="2"/>
      </rPr>
      <t xml:space="preserve"> GOSPODARKA KOMUNALNA I OCHRONA ŚRODOWISKA</t>
    </r>
  </si>
  <si>
    <r>
      <t xml:space="preserve">     Rozdział 90011:</t>
    </r>
    <r>
      <rPr>
        <sz val="10"/>
        <rFont val="Arial CE"/>
        <family val="2"/>
      </rPr>
      <t xml:space="preserve"> Fundusz Ochrony Środowiska i Gospodarki Wodnej</t>
    </r>
  </si>
  <si>
    <r>
      <t xml:space="preserve">                             § 0690 </t>
    </r>
    <r>
      <rPr>
        <sz val="10"/>
        <rFont val="Arial CE"/>
        <family val="0"/>
      </rPr>
      <t>Wpływy z różnych opłat</t>
    </r>
  </si>
  <si>
    <t>Termin realizacji</t>
  </si>
  <si>
    <t>Źródła finansowania</t>
  </si>
  <si>
    <t>Wkład własny</t>
  </si>
  <si>
    <t>Dział 010 : ROLNICTWO I ŁOWIECTWO</t>
  </si>
  <si>
    <t>Rozdział 01010 : Infrastruktura wodociągowa i sanitacyjna wsi</t>
  </si>
  <si>
    <t>Dział 600 : TRANSPORT I ŁĄCZNOŚĆ</t>
  </si>
  <si>
    <t>Remont chodników w Miłkowicach (kontynuacja)</t>
  </si>
  <si>
    <t>Dział 750 : ADMINISTRACJA PUBLICZNA</t>
  </si>
  <si>
    <t>Rozdział 75023 : Urzędy gmin</t>
  </si>
  <si>
    <t>Dział 851 : OCHRONA ZDROWIA</t>
  </si>
  <si>
    <t>Rozdział 85121 : Lecznictwo ambulatoryjne</t>
  </si>
  <si>
    <t>Dział 921 : KULTURA I OCHRONA DZIEDZICTWA NARODOWEGO</t>
  </si>
  <si>
    <t>Rozdział  92116: Biblioteki</t>
  </si>
  <si>
    <t>9.</t>
  </si>
  <si>
    <t>Środki unijne (art. 5 ust. 1 pkt 2 i 3 u.f.p.)</t>
  </si>
  <si>
    <t>dotacje i środki z innych źródeł</t>
  </si>
  <si>
    <t>2006-2007</t>
  </si>
  <si>
    <t>2007-2008</t>
  </si>
  <si>
    <t>Urząd Gminy    w Miłkowicach</t>
  </si>
  <si>
    <t xml:space="preserve">       Rozdział 60016 : Drogi publiczne gminne</t>
  </si>
  <si>
    <t>Dział 801: OŚWIATA I WYCHOWANIE</t>
  </si>
  <si>
    <t>Rozdział 80110 : Gimnazja</t>
  </si>
  <si>
    <t>Gimnazjum        w Miłkowicach</t>
  </si>
  <si>
    <t>Dział 700 : GOSPODARKA MIESZKANIOWA</t>
  </si>
  <si>
    <t>Rozdział 70005 : Gospodarka gruntami i nieruchomościami</t>
  </si>
  <si>
    <t>10.</t>
  </si>
  <si>
    <t>Dział 852 : POMOC SPOŁECZNA</t>
  </si>
  <si>
    <t>Rozdział 85219: Ośrodki pomocy społecznej</t>
  </si>
  <si>
    <t>Zakup kserokopiarki do GOPS w Miłkowicach</t>
  </si>
  <si>
    <t>GOPS w Miłkowicach</t>
  </si>
  <si>
    <t>Zadaszenie patio w Gimnazjum w Miłkowicach</t>
  </si>
  <si>
    <t>Razem wydatki inwestycyjne:</t>
  </si>
  <si>
    <t xml:space="preserve">Łączne koszty finansowe </t>
  </si>
  <si>
    <t>sporz. Renata Matusiewicz</t>
  </si>
  <si>
    <r>
      <t xml:space="preserve">1. </t>
    </r>
    <r>
      <rPr>
        <b/>
        <i/>
        <sz val="10"/>
        <rFont val="Arial CE"/>
        <family val="0"/>
      </rPr>
      <t>Szkoła Podstawowa w Rzeszotarach</t>
    </r>
  </si>
  <si>
    <r>
      <t xml:space="preserve">2. </t>
    </r>
    <r>
      <rPr>
        <b/>
        <i/>
        <sz val="10"/>
        <rFont val="Arial CE"/>
        <family val="0"/>
      </rPr>
      <t>Szkoła Podstawowa w Miłkowicach</t>
    </r>
  </si>
  <si>
    <r>
      <t xml:space="preserve">3. </t>
    </r>
    <r>
      <rPr>
        <b/>
        <i/>
        <sz val="10"/>
        <rFont val="Arial CE"/>
        <family val="0"/>
      </rPr>
      <t>Gimnazjum w Miłkowicach</t>
    </r>
  </si>
  <si>
    <t>dotacje
z budżetu</t>
  </si>
  <si>
    <t>§ 2650</t>
  </si>
  <si>
    <t>2.1.4</t>
  </si>
  <si>
    <t xml:space="preserve">pożyczek </t>
  </si>
  <si>
    <t>dotacje i środki otrzymane na inwestycyje</t>
  </si>
  <si>
    <t>podatki i opłaty lokalne</t>
  </si>
  <si>
    <t>Przewidywane wykonanie
2007 roku</t>
  </si>
  <si>
    <t>0490</t>
  </si>
  <si>
    <t>Wpływy z innych lokalnych opłat pobieranych przez jednostki samorządu terytorialnego na podstawie odrębnych ustaw</t>
  </si>
  <si>
    <t>Zaciągnięte zobowiązania  (stan na 31.12.roku poprzedniego) z tytułu:</t>
  </si>
  <si>
    <t>Planowane w roku budżetowym z tytułu:</t>
  </si>
  <si>
    <t>Obsługa długu (2.1+2.2)</t>
  </si>
  <si>
    <t>Spłata rat kapitałowych z tytułu:</t>
  </si>
  <si>
    <t>2.1.5</t>
  </si>
  <si>
    <r>
      <t xml:space="preserve">Zobowiązania wg tytułów dłużnych (stan na 31.12. roku budżetowego) : </t>
    </r>
    <r>
      <rPr>
        <sz val="10"/>
        <rFont val="Arial"/>
        <family val="2"/>
      </rPr>
      <t>(1.1+1.2) - 2.1.</t>
    </r>
  </si>
  <si>
    <r>
      <t xml:space="preserve">długu </t>
    </r>
    <r>
      <rPr>
        <sz val="10"/>
        <rFont val="Arial"/>
        <family val="2"/>
      </rPr>
      <t xml:space="preserve">(art. 170 ust. 1)    1:3         </t>
    </r>
  </si>
  <si>
    <r>
      <t xml:space="preserve">długu po uwzględnieniu wyłączeń </t>
    </r>
    <r>
      <rPr>
        <sz val="10"/>
        <rFont val="Arial"/>
        <family val="2"/>
      </rPr>
      <t>(art. 170 ust. 3)
(1-1.1.3.-1.2.3+2.1.5):3</t>
    </r>
  </si>
  <si>
    <t>Kwota długu na dzień 31.12.2007</t>
  </si>
  <si>
    <t>kredytów i pożyczek zaciąganych w celu realizacji umów zawartych z podmiotem dysponującym środkami o których mowa w art.5 ust.3 art.170 ustawy o finansach publicznych)</t>
  </si>
  <si>
    <t>Prognoza kwoty długu i spłat na rok 2008 i lata następne</t>
  </si>
  <si>
    <r>
      <t xml:space="preserve">spłaty zadłużenia po uwzględnieniu wyłączeń </t>
    </r>
    <r>
      <rPr>
        <sz val="10"/>
        <rFont val="Arial"/>
        <family val="2"/>
      </rPr>
      <t>(art. 169 ust. 3) (2-2.1.5):3</t>
    </r>
  </si>
  <si>
    <t>Plan na 2008 r.</t>
  </si>
  <si>
    <t>Dotacje przedmiotowe w 2008 r.</t>
  </si>
  <si>
    <t xml:space="preserve"> dochodów własnych jednostek budżetowych na 2008 r.</t>
  </si>
  <si>
    <t>Dochody z tytułu wydwania zewoleń na sprzedaż alkoholu i wydatki związane z realizacją Gminnego Programu Profilaktyki i Rozwiązywania Problemów Alkoholowych oraz Gminnego Programu Przeciwdziałania Narkomanii w 2008 r.</t>
  </si>
  <si>
    <t>Dochody i wydatki związane z realizacją zadań z zakresu administracji rządowej zleconych gminie ustawami w 2008 r. - podlegających przekazaniu do budżetu państwa</t>
  </si>
  <si>
    <t>Plan z 2007roku</t>
  </si>
  <si>
    <t>Plan na 2008 rok</t>
  </si>
  <si>
    <t>Dochody i wydatki związane z realizacją zadań z zakresu administracji rządowej i innych zadań zleconych odrębnymi ustawami w 2008 r.</t>
  </si>
  <si>
    <t>Wydatki  na programy i projekty realizowane ze środków pochodzących z funduszy strukturalnych i funduszu spójności Unii na lata 2008-2010</t>
  </si>
  <si>
    <t>2010 rok</t>
  </si>
  <si>
    <t>Planowane wydatki w roku 2007    (od 6 do 11)</t>
  </si>
  <si>
    <t>GFOŚiGW</t>
  </si>
  <si>
    <t>wpłaty + rozw. lokaty terminowej</t>
  </si>
  <si>
    <t xml:space="preserve">Budowa kanalizacji sanitarnej dla miejscowości Jezierzany, Jakuszów, Pątnówek i Bobrów </t>
  </si>
  <si>
    <t>Urząd Gminy        w Miłkowicach</t>
  </si>
  <si>
    <t xml:space="preserve">Budowa kanalizacji sanitarnej wraz z przyłączami dla miejscowości Gniewomirowice i Goślinów </t>
  </si>
  <si>
    <t xml:space="preserve">Budowa przykanalików w ramach zadania pn.: Budowa kanalizacji sanitarnej dla miejscowości Rzeszotary i Dobrzejów (kontynuacja i poszerzenie projektu i robót) </t>
  </si>
  <si>
    <t>GZGK    w Miłkowicach</t>
  </si>
  <si>
    <t>Rozdział 01039 : Pozostałe zadania Wspólnej Polityki Rolnej</t>
  </si>
  <si>
    <t>15.</t>
  </si>
  <si>
    <t>2007-2009</t>
  </si>
  <si>
    <t>17.</t>
  </si>
  <si>
    <t>Remont i modernizacja sieci centralnego ogrzewania w budynku w Ulesiu 99</t>
  </si>
  <si>
    <t>18.</t>
  </si>
  <si>
    <t>Realizacja "Zintegrowanego Systemu Informat. dla Zrównoważonego Rozwoju Regionu Doln. Śląska"</t>
  </si>
  <si>
    <t>19.</t>
  </si>
  <si>
    <t>Modernizacja urzędu poprzez zakup sprzętu komuterowego wraz z oprogramowaniem oraz instalację centralki telefonicznej</t>
  </si>
  <si>
    <t>Dział 754: BEZPIECZEŃSTWO PUBLICZNE I OCHRONA PRZECIWPOŻAROWA</t>
  </si>
  <si>
    <t>Rozdział 75412 : Ochotnicze straże pożarne</t>
  </si>
  <si>
    <t>20.</t>
  </si>
  <si>
    <t>21.</t>
  </si>
  <si>
    <t>23.</t>
  </si>
  <si>
    <t>Dział 900 : GOSPODARKA KOMUNALNA I OCHRONA ŚRODOWISKA</t>
  </si>
  <si>
    <t>Rozdział  90001: Gospodarka ściekowa i ochrona wód</t>
  </si>
  <si>
    <t>24.</t>
  </si>
  <si>
    <t>Zakup sprzętu komunalnego niezbędnego do prowadzenia eksploatacji pól irygacyjnych</t>
  </si>
  <si>
    <t>Rozdział  92109: Domy i ośrodki kultury, świetlice i kluby</t>
  </si>
  <si>
    <t>Dział 926 : KULTURA FIZYCZNA I SPORT</t>
  </si>
  <si>
    <t xml:space="preserve">Budowa małej infrastruktury (kompleksu boisk) i obiektów sportowych na terenie gminy </t>
  </si>
  <si>
    <t>2007-2012</t>
  </si>
  <si>
    <t>Plan na
2008 rok</t>
  </si>
  <si>
    <t>0770</t>
  </si>
  <si>
    <t>Wpływy z tytułu odpłatnego nabycia praw własności oraz prawa użytkowania wieczystego nieruchomości</t>
  </si>
  <si>
    <t>Wpływy z opłaty targowej</t>
  </si>
  <si>
    <t>0370</t>
  </si>
  <si>
    <t>Pozostałe wydatki bieżące</t>
  </si>
  <si>
    <t>Przewidywane wykonanie roku 2007</t>
  </si>
  <si>
    <t>Pozostałe zadania Wspólnej Polityki Rolnej</t>
  </si>
  <si>
    <t>Wybory do Sejmu i Senatu</t>
  </si>
  <si>
    <t>Plan roku 2007</t>
  </si>
  <si>
    <t>Plan
2007 roku</t>
  </si>
  <si>
    <t>Obiekty sportowe</t>
  </si>
  <si>
    <t>pozostałe wydatki bieżące</t>
  </si>
  <si>
    <t>% (rubr. 7:6)</t>
  </si>
  <si>
    <t>0010</t>
  </si>
  <si>
    <t>0020</t>
  </si>
  <si>
    <t>Ochrona różnorodności biologicznej i klimatu</t>
  </si>
  <si>
    <t>Zarządzanie kryzysowe</t>
  </si>
  <si>
    <t>Opłata od posiadania psów</t>
  </si>
  <si>
    <t>DOCHODY MAJĄTKOWE (rubr. 10+11)</t>
  </si>
  <si>
    <t>DOCHODY BIEŻĄCE (rubr. 13+14+15+16)</t>
  </si>
  <si>
    <t>Remont dróg osiedlowych w Miłkowicach (w tym ul. Stawowa, Działkowa, Słoneczna, 22-lipca)</t>
  </si>
  <si>
    <t>2008-2011</t>
  </si>
  <si>
    <t>Remont dróg gminnych w Rzeszotarach (ul. Cegielniana 1000m, H.Pobożnego 500m, Młyńska 500m)</t>
  </si>
  <si>
    <t>Budowa drogi asfaltowej w Ulesiu - droga do obwodnicy Nr 3 - 1000m</t>
  </si>
  <si>
    <t>2008-2009</t>
  </si>
  <si>
    <t>Remont drogi transportu rolnego w Kochlicach</t>
  </si>
  <si>
    <t>Rozdział  90005: Ochrona powietrza atmosferycznego i klimatu</t>
  </si>
  <si>
    <t>Budowa Gminnego Ośrodka Zdrowia w Miłkowicach wraz z zakupem wyposażenia i zagospodarowaniem placu</t>
  </si>
  <si>
    <t>Uwagi</t>
  </si>
  <si>
    <t>dofinansowanie do 75% kosztów kwalif. 200.000)</t>
  </si>
  <si>
    <t>dofinansowanie do 75% kosztów kwalif. 300.000)</t>
  </si>
  <si>
    <t>dofinansowanie do 75% kosztów kwalif. 75.000)</t>
  </si>
  <si>
    <t>Rozdział  92601: Obiekty sportowe</t>
  </si>
  <si>
    <t>16.</t>
  </si>
  <si>
    <t>Wykup gruntów, na których posadowione są przepompownie ścieków oraz pod parking w Siedliskach</t>
  </si>
  <si>
    <t xml:space="preserve">na realizację programu profilaktycznego </t>
  </si>
  <si>
    <t>Rozbudowa gminnej sieci wodociągowej w Kochlicach</t>
  </si>
  <si>
    <t>Remont budynku 99 w Ulesiu - centralne ogrzewanie</t>
  </si>
  <si>
    <t>Pozostała działaność</t>
  </si>
  <si>
    <t>75095</t>
  </si>
  <si>
    <t>75421</t>
  </si>
  <si>
    <t>75018</t>
  </si>
  <si>
    <t>Urządy marszałkowskie</t>
  </si>
  <si>
    <t>75108</t>
  </si>
  <si>
    <t xml:space="preserve">   -    Urząd Gminy Miłkowice</t>
  </si>
  <si>
    <t>90001</t>
  </si>
  <si>
    <t>90008</t>
  </si>
  <si>
    <t>92601</t>
  </si>
  <si>
    <t>Kredyty i pożyczki</t>
  </si>
  <si>
    <t>środki budzetu j.s.t</t>
  </si>
  <si>
    <r>
      <t>Priorytet 4</t>
    </r>
    <r>
      <rPr>
        <sz val="10"/>
        <rFont val="Arial"/>
        <family val="2"/>
      </rPr>
      <t xml:space="preserve"> : Poprawa stanu środowiska naturalnego oraz zachowanie różnorodności biologicznej oraz walorów przyrodniczych Dolnego Śląska</t>
    </r>
  </si>
  <si>
    <r>
      <t>Priorytet 8</t>
    </r>
    <r>
      <rPr>
        <sz val="10"/>
        <rFont val="Arial"/>
        <family val="2"/>
      </rPr>
      <t xml:space="preserve"> : Modernizacja infrastruktury ochrony zdrowia na Dolnym Śląsku</t>
    </r>
  </si>
  <si>
    <r>
      <t>Priorytet 4</t>
    </r>
    <r>
      <rPr>
        <sz val="10"/>
        <rFont val="Arial"/>
        <family val="2"/>
      </rPr>
      <t>: Poprawa środowiska naturalnego oraz zachowanie różnorodności biologicznej i ochrony przyrody na Dolnym Śląsku</t>
    </r>
  </si>
  <si>
    <r>
      <t>Oś 3:</t>
    </r>
    <r>
      <rPr>
        <sz val="10"/>
        <rFont val="Arial"/>
        <family val="2"/>
      </rPr>
      <t xml:space="preserve"> Odnowa i rozwój wsi</t>
    </r>
  </si>
  <si>
    <t>Utworzenie Strefy Aktywności Gospodarczej w Rzeszotarach</t>
  </si>
  <si>
    <t>Utworzenie Centrum Edukacyjno-Kulturalnego w miejscowości Ulesie</t>
  </si>
  <si>
    <t>Adaptacja budynku stołówki w Miłkowicach na bibliotekę</t>
  </si>
  <si>
    <t>11.</t>
  </si>
  <si>
    <t>12.</t>
  </si>
  <si>
    <t>13.</t>
  </si>
  <si>
    <t>14.</t>
  </si>
  <si>
    <t>2008-2010</t>
  </si>
  <si>
    <t>Pożyczka i dotacja z WFOŚIGW</t>
  </si>
  <si>
    <t>potencjalny dochód</t>
  </si>
  <si>
    <t>Remont chodników w Siedliskach - 1500 m</t>
  </si>
  <si>
    <t>Budowa kotłowni ekologicznej dla kompleksu budynków publicznych w Miłkowicach</t>
  </si>
  <si>
    <t>Przebudowa kanalizacji sanitarnej w obrębie wsi Miłkowice (modernizacja kolektora sanitarnego przy ul. Proletariackiej)</t>
  </si>
  <si>
    <t>Budowa wodociągu tranzytowego Niedźwiedzice-Miłkowice i udział w budowie Stacji Uzdatniania Wody w Okmianach</t>
  </si>
  <si>
    <t>Dotacje podmiotowe i celowe w roku 2008</t>
  </si>
  <si>
    <t>Nazwa dotowanego</t>
  </si>
  <si>
    <t>Urząd Miasta Legnica</t>
  </si>
  <si>
    <t>na dofinansowanie prac remontowych przy zabytkach</t>
  </si>
  <si>
    <t>Urząd Gminy Chojnów</t>
  </si>
  <si>
    <t>na dofinansowanie inwestycji pn.: "Budowa Stacji Uzdatniania wody w Okmianach"</t>
  </si>
  <si>
    <t>na koszty utrzymania dziecka uczęszczającego do przedszkola w Legnicy</t>
  </si>
  <si>
    <t>Wykaz zadań inwestycyjnych na 2008 rok</t>
  </si>
  <si>
    <t>Nazwa i cel programu</t>
  </si>
  <si>
    <t>Okres realizacji</t>
  </si>
  <si>
    <t xml:space="preserve">Łączne nakłady finansowe </t>
  </si>
  <si>
    <r>
      <t xml:space="preserve">                             § 4300 </t>
    </r>
    <r>
      <rPr>
        <sz val="10"/>
        <rFont val="Arial CE"/>
        <family val="0"/>
      </rPr>
      <t xml:space="preserve">Edukacja Ekologiczna </t>
    </r>
  </si>
  <si>
    <r>
      <t xml:space="preserve">                             § 4300 </t>
    </r>
    <r>
      <rPr>
        <sz val="10"/>
        <rFont val="Arial CE"/>
        <family val="0"/>
      </rPr>
      <t>Wycinka uschniętych drzew</t>
    </r>
  </si>
  <si>
    <t>Planowane wydatki budżetowe na realizację zadań programu w latach    2008 - 2010</t>
  </si>
  <si>
    <t xml:space="preserve">kredyty i pożyczki </t>
  </si>
  <si>
    <t xml:space="preserve">środki z UE </t>
  </si>
  <si>
    <t>Plan dochodów budżetu gminy na 2008 r.</t>
  </si>
  <si>
    <t>Koszty ogółem, w tym:</t>
  </si>
  <si>
    <t xml:space="preserve">     fundusze unijne</t>
  </si>
  <si>
    <t xml:space="preserve">     środki własne</t>
  </si>
  <si>
    <t xml:space="preserve">     kredyty i pożyczki</t>
  </si>
  <si>
    <t xml:space="preserve">     dotacje i inne środki</t>
  </si>
  <si>
    <t>2008 rok</t>
  </si>
  <si>
    <t>Wysokość wydatków w latach</t>
  </si>
  <si>
    <t>Budowa kanalizacji sanitarnej wraz z przyłączami na terenie gminy Miłkowice dla miejscowości Ulesie i Lipce</t>
  </si>
  <si>
    <t>2009-2011</t>
  </si>
  <si>
    <t>Modernizacja oczyszczalni ścieków w Miłkowicach z remontem sieci wodociągowej - I etap Modernizacja oczyszczalni ścieków w Miłkowicach</t>
  </si>
  <si>
    <t>Ochrona przeciwpożarowa</t>
  </si>
  <si>
    <t>Jednostka organizacyjna realizująca program</t>
  </si>
  <si>
    <t>Biblioteki, domy i ośrodki kultury, świetlice i kluby</t>
  </si>
  <si>
    <t>Gospodarka gruntami i nierucho-mościami</t>
  </si>
  <si>
    <t>Zdrowie i opieka społeczna</t>
  </si>
  <si>
    <t>Edukacja i sport</t>
  </si>
  <si>
    <t xml:space="preserve">Budowa małej infrastruktury (kompleksu boisk wielofunkcyjnych) i obiektów sportowych na terenie gminy </t>
  </si>
  <si>
    <t>Przebudowa obiektu sportowego w Miłkowicach wraz z budową szatni</t>
  </si>
  <si>
    <t>Budowa szatni w Siedliskach</t>
  </si>
  <si>
    <t>Budowa wielofunkcyjnej hali sportowej przy Szkole Podstawowej w Rzeszotarach</t>
  </si>
  <si>
    <t>Rzobudowa terenów zielonych na terenie gminy (parki, skwery, place zabaw)</t>
  </si>
  <si>
    <t>2009-2013</t>
  </si>
  <si>
    <t>Przebudowa Szkoły Podstawowej w Miłkowicach</t>
  </si>
  <si>
    <t>Transport i komunikacja</t>
  </si>
  <si>
    <t>Budowa drogi asfaltowej Grzymalinie na odcinku Grzymalin-Głuchowice 2000m</t>
  </si>
  <si>
    <t>Budowa dróg transportu rolniczego na terenie gminy - około 25 km</t>
  </si>
  <si>
    <t>Budowa ścieżek rowerowych na terenie gminy - około 10 km</t>
  </si>
  <si>
    <t>2010-2011</t>
  </si>
  <si>
    <t>Modernizacja placu targowego w Miłkowicach</t>
  </si>
  <si>
    <t>Ochrona środowiska</t>
  </si>
  <si>
    <t>środki z UE *)</t>
  </si>
  <si>
    <t>PLAN PRZYCHODÓW I ROZCHODÓW</t>
  </si>
  <si>
    <t>związanych z finansowaniem niedoboru i rozdysponowaniem                                    nadwyżki budżetowej</t>
  </si>
  <si>
    <t>DOCHODY  BUDŻETU GMINY</t>
  </si>
  <si>
    <t>WYDATKI  BUDŻETU GMINY</t>
  </si>
  <si>
    <t>KWOTA DEFICYTU BUDŻETOWEGO</t>
  </si>
  <si>
    <t>21.210.689 zł</t>
  </si>
  <si>
    <t>22.070.949 zł</t>
  </si>
  <si>
    <t>860.260 zł</t>
  </si>
  <si>
    <t>Rozdysponowanie przychodów i rozchodów</t>
  </si>
  <si>
    <t>Kwota w zł</t>
  </si>
  <si>
    <t>DOCHODY BUDŻETU GMINY</t>
  </si>
  <si>
    <t>PRZYCHODY BUDŻETU GMINY</t>
  </si>
  <si>
    <t>RAZEM</t>
  </si>
  <si>
    <t>ROZCHODY BUDŻETU GMINY</t>
  </si>
  <si>
    <t>WYDATKI BUDŻETU GMINY</t>
  </si>
  <si>
    <t>Plan
na 2008 r.
(8+14)</t>
  </si>
  <si>
    <t>Plan wydatków budżetu gminy na  2008 r.</t>
  </si>
  <si>
    <t>% (rubr. 6:5)</t>
  </si>
  <si>
    <t>Budowa zatoki autobusowej w Jakuszowie</t>
  </si>
  <si>
    <t>Zakup wozu strażackiego</t>
  </si>
  <si>
    <t>22.</t>
  </si>
  <si>
    <t>Limit wydatków związanych z Wieloletnim Programem Inwestycyjnym Gminy Miłkowice na lata 2008-2010</t>
  </si>
</sst>
</file>

<file path=xl/styles.xml><?xml version="1.0" encoding="utf-8"?>
<styleSheet xmlns="http://schemas.openxmlformats.org/spreadsheetml/2006/main">
  <numFmts count="4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;[Red]#,##0"/>
    <numFmt numFmtId="169" formatCode="00000"/>
    <numFmt numFmtId="170" formatCode="000"/>
    <numFmt numFmtId="171" formatCode="00\-000"/>
    <numFmt numFmtId="172" formatCode="0.000"/>
    <numFmt numFmtId="173" formatCode="0.0"/>
    <numFmt numFmtId="174" formatCode="_-* #,##0.0\ _z_ł_-;\-* #,##0.0\ _z_ł_-;_-* &quot;-&quot;\ _z_ł_-;_-@_-"/>
    <numFmt numFmtId="175" formatCode="0.0000000"/>
    <numFmt numFmtId="176" formatCode="0.000000"/>
    <numFmt numFmtId="177" formatCode="0.00000"/>
    <numFmt numFmtId="178" formatCode="0.0000"/>
    <numFmt numFmtId="179" formatCode="_-* #,##0.00\ _z_ł_-;\-* #,##0.00\ _z_ł_-;_-* &quot;-&quot;\ _z_ł_-;_-@_-"/>
    <numFmt numFmtId="180" formatCode="_-* #,##0.0\ _z_ł_-;\-* #,##0.0\ _z_ł_-;_-* &quot;-&quot;?\ _z_ł_-;_-@_-"/>
    <numFmt numFmtId="181" formatCode="_-* #,##0\ _z_ł_-;\-* #,##0\ _z_ł_-;_-* &quot;-&quot;??\ _z_ł_-;_-@_-"/>
    <numFmt numFmtId="182" formatCode="#,##0.0\ _z_ł"/>
    <numFmt numFmtId="183" formatCode="_-* #,##0.000\ _z_ł_-;\-* #,##0.000\ _z_ł_-;_-* &quot;-&quot;\ _z_ł_-;_-@_-"/>
    <numFmt numFmtId="184" formatCode="#,##0.00\ _z_ł"/>
    <numFmt numFmtId="185" formatCode="#,##0\ _z_ł"/>
    <numFmt numFmtId="186" formatCode="0.00000000"/>
    <numFmt numFmtId="187" formatCode="#,##0.0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d\ mmmm\ yyyy"/>
    <numFmt numFmtId="197" formatCode="mmmm\ yy"/>
    <numFmt numFmtId="198" formatCode="mmm/yyyy"/>
    <numFmt numFmtId="199" formatCode="[$-415]d\ mmmm\ yyyy"/>
    <numFmt numFmtId="200" formatCode="#,##0_ ;\-#,##0\ "/>
  </numFmts>
  <fonts count="48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b/>
      <sz val="13"/>
      <name val="Arial CE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sz val="6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i/>
      <sz val="11"/>
      <name val="Arial CE"/>
      <family val="0"/>
    </font>
    <font>
      <i/>
      <sz val="12"/>
      <name val="Arial CE"/>
      <family val="0"/>
    </font>
    <font>
      <b/>
      <sz val="9"/>
      <name val="Arial CE"/>
      <family val="0"/>
    </font>
    <font>
      <sz val="11"/>
      <name val="Arial CE"/>
      <family val="0"/>
    </font>
    <font>
      <b/>
      <sz val="9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i/>
      <sz val="10"/>
      <name val="Arial CE"/>
      <family val="0"/>
    </font>
    <font>
      <b/>
      <sz val="8"/>
      <name val="Arial CE"/>
      <family val="2"/>
    </font>
    <font>
      <vertAlign val="superscript"/>
      <sz val="10"/>
      <name val="Arial CE"/>
      <family val="0"/>
    </font>
    <font>
      <i/>
      <sz val="10"/>
      <name val="Arial"/>
      <family val="2"/>
    </font>
    <font>
      <sz val="10"/>
      <name val="Times New Roman CE"/>
      <family val="1"/>
    </font>
    <font>
      <sz val="14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11"/>
      <name val="Verdana"/>
      <family val="2"/>
    </font>
    <font>
      <b/>
      <sz val="8"/>
      <name val="Arial"/>
      <family val="2"/>
    </font>
    <font>
      <u val="single"/>
      <sz val="10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u val="single"/>
      <sz val="11"/>
      <name val="Verdana"/>
      <family val="2"/>
    </font>
    <font>
      <sz val="14"/>
      <name val="Arial CE"/>
      <family val="0"/>
    </font>
    <font>
      <i/>
      <sz val="14"/>
      <name val="Arial CE"/>
      <family val="0"/>
    </font>
    <font>
      <i/>
      <sz val="10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</fills>
  <borders count="9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medium"/>
      <right style="medium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82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top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vertical="center" wrapText="1"/>
    </xf>
    <xf numFmtId="0" fontId="0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 vertical="center" indent="2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4" fillId="0" borderId="1" xfId="0" applyFont="1" applyBorder="1" applyAlignment="1">
      <alignment horizontal="left" vertical="center"/>
    </xf>
    <xf numFmtId="0" fontId="0" fillId="0" borderId="5" xfId="0" applyFont="1" applyBorder="1" applyAlignment="1">
      <alignment horizontal="center" vertical="center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0" fillId="0" borderId="6" xfId="0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center" wrapText="1"/>
    </xf>
    <xf numFmtId="0" fontId="15" fillId="0" borderId="0" xfId="0" applyFont="1" applyAlignment="1">
      <alignment/>
    </xf>
    <xf numFmtId="0" fontId="1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3" fillId="0" borderId="1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18" fillId="0" borderId="1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4" fillId="2" borderId="7" xfId="0" applyFont="1" applyFill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9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49" fontId="19" fillId="0" borderId="6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0" fontId="0" fillId="0" borderId="0" xfId="0" applyFont="1" applyAlignment="1">
      <alignment/>
    </xf>
    <xf numFmtId="0" fontId="19" fillId="0" borderId="8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3" fontId="19" fillId="0" borderId="6" xfId="0" applyNumberFormat="1" applyFont="1" applyBorder="1" applyAlignment="1">
      <alignment vertical="center"/>
    </xf>
    <xf numFmtId="3" fontId="0" fillId="0" borderId="6" xfId="0" applyNumberFormat="1" applyBorder="1" applyAlignment="1">
      <alignment vertical="center"/>
    </xf>
    <xf numFmtId="3" fontId="0" fillId="0" borderId="3" xfId="0" applyNumberFormat="1" applyBorder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3" fontId="10" fillId="0" borderId="3" xfId="0" applyNumberFormat="1" applyFont="1" applyBorder="1" applyAlignment="1">
      <alignment vertical="center" wrapText="1"/>
    </xf>
    <xf numFmtId="49" fontId="25" fillId="0" borderId="3" xfId="0" applyNumberFormat="1" applyFont="1" applyBorder="1" applyAlignment="1">
      <alignment horizontal="center" vertical="center" wrapText="1"/>
    </xf>
    <xf numFmtId="3" fontId="25" fillId="0" borderId="3" xfId="0" applyNumberFormat="1" applyFont="1" applyBorder="1" applyAlignment="1">
      <alignment vertical="center" wrapText="1"/>
    </xf>
    <xf numFmtId="0" fontId="25" fillId="0" borderId="0" xfId="0" applyFont="1" applyAlignment="1">
      <alignment vertical="center"/>
    </xf>
    <xf numFmtId="0" fontId="25" fillId="0" borderId="3" xfId="0" applyFont="1" applyBorder="1" applyAlignment="1">
      <alignment horizontal="left" vertical="center" wrapText="1"/>
    </xf>
    <xf numFmtId="0" fontId="22" fillId="0" borderId="6" xfId="0" applyFont="1" applyBorder="1" applyAlignment="1">
      <alignment horizontal="left" vertical="center"/>
    </xf>
    <xf numFmtId="3" fontId="0" fillId="0" borderId="0" xfId="0" applyNumberFormat="1" applyBorder="1" applyAlignment="1">
      <alignment vertical="center"/>
    </xf>
    <xf numFmtId="0" fontId="19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vertical="center" wrapText="1"/>
    </xf>
    <xf numFmtId="3" fontId="0" fillId="0" borderId="5" xfId="0" applyNumberFormat="1" applyBorder="1" applyAlignment="1">
      <alignment vertical="center"/>
    </xf>
    <xf numFmtId="3" fontId="4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26" fillId="0" borderId="0" xfId="0" applyFont="1" applyAlignment="1">
      <alignment horizontal="center" vertical="center"/>
    </xf>
    <xf numFmtId="3" fontId="26" fillId="0" borderId="9" xfId="0" applyNumberFormat="1" applyFont="1" applyBorder="1" applyAlignment="1">
      <alignment horizontal="right" vertical="center" wrapText="1"/>
    </xf>
    <xf numFmtId="0" fontId="4" fillId="2" borderId="10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3" fontId="0" fillId="0" borderId="2" xfId="0" applyNumberFormat="1" applyFont="1" applyBorder="1" applyAlignment="1">
      <alignment vertical="center"/>
    </xf>
    <xf numFmtId="3" fontId="0" fillId="0" borderId="3" xfId="0" applyNumberFormat="1" applyFont="1" applyBorder="1" applyAlignment="1">
      <alignment vertical="center"/>
    </xf>
    <xf numFmtId="3" fontId="0" fillId="0" borderId="4" xfId="0" applyNumberFormat="1" applyFont="1" applyBorder="1" applyAlignment="1">
      <alignment vertical="center"/>
    </xf>
    <xf numFmtId="3" fontId="4" fillId="0" borderId="1" xfId="0" applyNumberFormat="1" applyFont="1" applyBorder="1" applyAlignment="1">
      <alignment vertical="center"/>
    </xf>
    <xf numFmtId="3" fontId="0" fillId="0" borderId="2" xfId="0" applyNumberFormat="1" applyBorder="1" applyAlignment="1">
      <alignment vertical="center"/>
    </xf>
    <xf numFmtId="3" fontId="0" fillId="0" borderId="4" xfId="0" applyNumberFormat="1" applyBorder="1" applyAlignment="1">
      <alignment vertical="center"/>
    </xf>
    <xf numFmtId="3" fontId="0" fillId="0" borderId="1" xfId="0" applyNumberFormat="1" applyBorder="1" applyAlignment="1">
      <alignment vertical="center"/>
    </xf>
    <xf numFmtId="3" fontId="0" fillId="0" borderId="7" xfId="0" applyNumberFormat="1" applyBorder="1" applyAlignment="1">
      <alignment vertical="center"/>
    </xf>
    <xf numFmtId="3" fontId="0" fillId="0" borderId="3" xfId="0" applyNumberFormat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0" fontId="4" fillId="2" borderId="7" xfId="0" applyFont="1" applyFill="1" applyBorder="1" applyAlignment="1">
      <alignment vertical="center" wrapText="1"/>
    </xf>
    <xf numFmtId="0" fontId="29" fillId="2" borderId="7" xfId="0" applyFont="1" applyFill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horizontal="left" vertical="center" indent="1"/>
    </xf>
    <xf numFmtId="3" fontId="0" fillId="0" borderId="5" xfId="0" applyNumberForma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wrapText="1"/>
    </xf>
    <xf numFmtId="3" fontId="0" fillId="0" borderId="2" xfId="0" applyNumberFormat="1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3" fontId="0" fillId="0" borderId="5" xfId="0" applyNumberFormat="1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left" vertical="center" wrapText="1"/>
    </xf>
    <xf numFmtId="49" fontId="0" fillId="0" borderId="3" xfId="0" applyNumberFormat="1" applyBorder="1" applyAlignment="1">
      <alignment horizontal="left" vertical="center" wrapText="1"/>
    </xf>
    <xf numFmtId="3" fontId="2" fillId="0" borderId="1" xfId="0" applyNumberFormat="1" applyFont="1" applyBorder="1" applyAlignment="1">
      <alignment vertical="center"/>
    </xf>
    <xf numFmtId="9" fontId="0" fillId="0" borderId="2" xfId="0" applyNumberFormat="1" applyBorder="1" applyAlignment="1">
      <alignment vertical="center"/>
    </xf>
    <xf numFmtId="9" fontId="0" fillId="0" borderId="3" xfId="0" applyNumberFormat="1" applyBorder="1" applyAlignment="1">
      <alignment vertical="center"/>
    </xf>
    <xf numFmtId="9" fontId="0" fillId="0" borderId="4" xfId="0" applyNumberFormat="1" applyBorder="1" applyAlignment="1">
      <alignment vertical="center"/>
    </xf>
    <xf numFmtId="9" fontId="0" fillId="0" borderId="1" xfId="0" applyNumberFormat="1" applyBorder="1" applyAlignment="1">
      <alignment vertical="center"/>
    </xf>
    <xf numFmtId="49" fontId="24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vertical="center" wrapText="1"/>
    </xf>
    <xf numFmtId="10" fontId="27" fillId="0" borderId="0" xfId="0" applyNumberFormat="1" applyFont="1" applyBorder="1" applyAlignment="1">
      <alignment vertical="center" wrapText="1"/>
    </xf>
    <xf numFmtId="0" fontId="0" fillId="0" borderId="1" xfId="0" applyNumberFormat="1" applyBorder="1" applyAlignment="1">
      <alignment horizontal="center" vertical="center" wrapText="1"/>
    </xf>
    <xf numFmtId="3" fontId="2" fillId="0" borderId="1" xfId="0" applyNumberFormat="1" applyFont="1" applyBorder="1" applyAlignment="1">
      <alignment vertical="center"/>
    </xf>
    <xf numFmtId="3" fontId="10" fillId="0" borderId="1" xfId="0" applyNumberFormat="1" applyFont="1" applyBorder="1" applyAlignment="1">
      <alignment horizontal="right" vertical="center" wrapText="1"/>
    </xf>
    <xf numFmtId="3" fontId="13" fillId="0" borderId="1" xfId="0" applyNumberFormat="1" applyFont="1" applyBorder="1" applyAlignment="1">
      <alignment horizontal="right" vertical="center" wrapText="1"/>
    </xf>
    <xf numFmtId="3" fontId="31" fillId="0" borderId="1" xfId="0" applyNumberFormat="1" applyFont="1" applyBorder="1" applyAlignment="1">
      <alignment horizontal="right" vertical="center" wrapText="1"/>
    </xf>
    <xf numFmtId="0" fontId="32" fillId="0" borderId="0" xfId="18" applyFont="1">
      <alignment/>
      <protection/>
    </xf>
    <xf numFmtId="0" fontId="32" fillId="0" borderId="0" xfId="18" applyFont="1" applyBorder="1">
      <alignment/>
      <protection/>
    </xf>
    <xf numFmtId="0" fontId="32" fillId="0" borderId="1" xfId="18" applyFont="1" applyBorder="1">
      <alignment/>
      <protection/>
    </xf>
    <xf numFmtId="0" fontId="32" fillId="0" borderId="10" xfId="18" applyFont="1" applyBorder="1">
      <alignment/>
      <protection/>
    </xf>
    <xf numFmtId="0" fontId="32" fillId="0" borderId="12" xfId="18" applyFont="1" applyBorder="1">
      <alignment/>
      <protection/>
    </xf>
    <xf numFmtId="0" fontId="32" fillId="0" borderId="0" xfId="18" applyFont="1" applyAlignment="1">
      <alignment horizontal="center"/>
      <protection/>
    </xf>
    <xf numFmtId="3" fontId="4" fillId="0" borderId="1" xfId="0" applyNumberFormat="1" applyFont="1" applyBorder="1" applyAlignment="1">
      <alignment horizontal="center" vertical="center"/>
    </xf>
    <xf numFmtId="3" fontId="0" fillId="0" borderId="5" xfId="0" applyNumberFormat="1" applyFont="1" applyBorder="1" applyAlignment="1">
      <alignment horizontal="center" vertical="center"/>
    </xf>
    <xf numFmtId="3" fontId="0" fillId="0" borderId="3" xfId="0" applyNumberFormat="1" applyFont="1" applyBorder="1" applyAlignment="1">
      <alignment horizontal="center" vertical="center"/>
    </xf>
    <xf numFmtId="3" fontId="0" fillId="0" borderId="4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33" fillId="0" borderId="0" xfId="0" applyFont="1" applyAlignment="1">
      <alignment/>
    </xf>
    <xf numFmtId="0" fontId="25" fillId="0" borderId="0" xfId="0" applyFont="1" applyAlignment="1">
      <alignment/>
    </xf>
    <xf numFmtId="0" fontId="34" fillId="0" borderId="0" xfId="0" applyFont="1" applyAlignment="1">
      <alignment textRotation="180"/>
    </xf>
    <xf numFmtId="0" fontId="25" fillId="0" borderId="0" xfId="0" applyFont="1" applyAlignment="1">
      <alignment vertical="center" wrapText="1"/>
    </xf>
    <xf numFmtId="0" fontId="36" fillId="0" borderId="0" xfId="0" applyFont="1" applyAlignment="1">
      <alignment vertical="top"/>
    </xf>
    <xf numFmtId="3" fontId="25" fillId="0" borderId="0" xfId="0" applyNumberFormat="1" applyFont="1" applyAlignment="1">
      <alignment/>
    </xf>
    <xf numFmtId="3" fontId="34" fillId="0" borderId="0" xfId="0" applyNumberFormat="1" applyFont="1" applyBorder="1" applyAlignment="1">
      <alignment vertical="center" wrapText="1"/>
    </xf>
    <xf numFmtId="0" fontId="34" fillId="0" borderId="0" xfId="0" applyFont="1" applyAlignment="1">
      <alignment vertical="center" wrapText="1"/>
    </xf>
    <xf numFmtId="0" fontId="38" fillId="0" borderId="0" xfId="0" applyFont="1" applyAlignment="1">
      <alignment/>
    </xf>
    <xf numFmtId="3" fontId="38" fillId="0" borderId="0" xfId="0" applyNumberFormat="1" applyFont="1" applyAlignment="1">
      <alignment/>
    </xf>
    <xf numFmtId="0" fontId="3" fillId="0" borderId="0" xfId="0" applyFont="1" applyAlignment="1">
      <alignment vertical="center" wrapText="1"/>
    </xf>
    <xf numFmtId="3" fontId="34" fillId="0" borderId="13" xfId="0" applyNumberFormat="1" applyFont="1" applyFill="1" applyBorder="1" applyAlignment="1">
      <alignment vertical="center" wrapText="1"/>
    </xf>
    <xf numFmtId="3" fontId="34" fillId="0" borderId="14" xfId="0" applyNumberFormat="1" applyFont="1" applyFill="1" applyBorder="1" applyAlignment="1">
      <alignment vertical="center" wrapText="1"/>
    </xf>
    <xf numFmtId="0" fontId="34" fillId="0" borderId="0" xfId="0" applyFont="1" applyFill="1" applyAlignment="1">
      <alignment textRotation="180"/>
    </xf>
    <xf numFmtId="0" fontId="25" fillId="0" borderId="0" xfId="0" applyFont="1" applyFill="1" applyAlignment="1">
      <alignment vertical="center" wrapText="1"/>
    </xf>
    <xf numFmtId="3" fontId="25" fillId="0" borderId="8" xfId="0" applyNumberFormat="1" applyFont="1" applyFill="1" applyBorder="1" applyAlignment="1">
      <alignment vertical="center" wrapText="1"/>
    </xf>
    <xf numFmtId="3" fontId="25" fillId="0" borderId="15" xfId="0" applyNumberFormat="1" applyFont="1" applyFill="1" applyBorder="1" applyAlignment="1">
      <alignment vertical="center" wrapText="1"/>
    </xf>
    <xf numFmtId="3" fontId="25" fillId="0" borderId="16" xfId="0" applyNumberFormat="1" applyFont="1" applyFill="1" applyBorder="1" applyAlignment="1">
      <alignment vertical="center" wrapText="1"/>
    </xf>
    <xf numFmtId="3" fontId="25" fillId="0" borderId="17" xfId="0" applyNumberFormat="1" applyFont="1" applyFill="1" applyBorder="1" applyAlignment="1">
      <alignment vertical="center" wrapText="1"/>
    </xf>
    <xf numFmtId="3" fontId="25" fillId="0" borderId="18" xfId="0" applyNumberFormat="1" applyFont="1" applyFill="1" applyBorder="1" applyAlignment="1">
      <alignment vertical="center" wrapText="1"/>
    </xf>
    <xf numFmtId="3" fontId="25" fillId="0" borderId="19" xfId="0" applyNumberFormat="1" applyFont="1" applyFill="1" applyBorder="1" applyAlignment="1">
      <alignment vertical="center" wrapText="1"/>
    </xf>
    <xf numFmtId="0" fontId="34" fillId="0" borderId="20" xfId="0" applyFont="1" applyFill="1" applyBorder="1" applyAlignment="1">
      <alignment vertical="center" wrapText="1"/>
    </xf>
    <xf numFmtId="3" fontId="34" fillId="0" borderId="21" xfId="0" applyNumberFormat="1" applyFont="1" applyFill="1" applyBorder="1" applyAlignment="1">
      <alignment vertical="center" wrapText="1"/>
    </xf>
    <xf numFmtId="0" fontId="10" fillId="0" borderId="8" xfId="0" applyFont="1" applyFill="1" applyBorder="1" applyAlignment="1">
      <alignment vertical="center" wrapText="1"/>
    </xf>
    <xf numFmtId="3" fontId="35" fillId="0" borderId="7" xfId="0" applyNumberFormat="1" applyFont="1" applyFill="1" applyBorder="1" applyAlignment="1">
      <alignment vertical="center" wrapText="1"/>
    </xf>
    <xf numFmtId="0" fontId="25" fillId="0" borderId="2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3" fontId="25" fillId="0" borderId="1" xfId="0" applyNumberFormat="1" applyFont="1" applyFill="1" applyBorder="1" applyAlignment="1">
      <alignment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3" fontId="35" fillId="0" borderId="1" xfId="0" applyNumberFormat="1" applyFont="1" applyFill="1" applyBorder="1" applyAlignment="1">
      <alignment vertical="center" wrapText="1"/>
    </xf>
    <xf numFmtId="0" fontId="10" fillId="0" borderId="18" xfId="0" applyFont="1" applyFill="1" applyBorder="1" applyAlignment="1">
      <alignment vertical="center" wrapText="1"/>
    </xf>
    <xf numFmtId="3" fontId="34" fillId="0" borderId="23" xfId="0" applyNumberFormat="1" applyFont="1" applyFill="1" applyBorder="1" applyAlignment="1">
      <alignment vertical="center" wrapText="1"/>
    </xf>
    <xf numFmtId="3" fontId="34" fillId="0" borderId="24" xfId="0" applyNumberFormat="1" applyFont="1" applyFill="1" applyBorder="1" applyAlignment="1">
      <alignment vertical="center" wrapText="1"/>
    </xf>
    <xf numFmtId="0" fontId="25" fillId="0" borderId="25" xfId="0" applyFont="1" applyFill="1" applyBorder="1" applyAlignment="1">
      <alignment vertical="center" wrapText="1"/>
    </xf>
    <xf numFmtId="1" fontId="10" fillId="0" borderId="18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1" fontId="10" fillId="0" borderId="18" xfId="0" applyNumberFormat="1" applyFont="1" applyFill="1" applyBorder="1" applyAlignment="1">
      <alignment horizontal="center" vertical="center" wrapText="1"/>
    </xf>
    <xf numFmtId="0" fontId="25" fillId="0" borderId="26" xfId="0" applyFont="1" applyFill="1" applyBorder="1" applyAlignment="1">
      <alignment vertical="center" wrapText="1"/>
    </xf>
    <xf numFmtId="3" fontId="34" fillId="0" borderId="27" xfId="0" applyNumberFormat="1" applyFont="1" applyFill="1" applyBorder="1" applyAlignment="1">
      <alignment vertical="center" wrapText="1"/>
    </xf>
    <xf numFmtId="1" fontId="10" fillId="0" borderId="0" xfId="0" applyNumberFormat="1" applyFont="1" applyFill="1" applyBorder="1" applyAlignment="1">
      <alignment horizontal="center" vertical="center" wrapText="1"/>
    </xf>
    <xf numFmtId="3" fontId="25" fillId="0" borderId="0" xfId="0" applyNumberFormat="1" applyFont="1" applyFill="1" applyBorder="1" applyAlignment="1">
      <alignment vertical="center" wrapText="1"/>
    </xf>
    <xf numFmtId="0" fontId="27" fillId="0" borderId="0" xfId="0" applyFont="1" applyFill="1" applyAlignment="1">
      <alignment horizontal="center" textRotation="180"/>
    </xf>
    <xf numFmtId="0" fontId="27" fillId="0" borderId="0" xfId="0" applyFont="1" applyFill="1" applyAlignment="1">
      <alignment horizontal="center" vertical="center" wrapText="1"/>
    </xf>
    <xf numFmtId="0" fontId="27" fillId="0" borderId="28" xfId="0" applyFont="1" applyFill="1" applyBorder="1" applyAlignment="1">
      <alignment horizontal="center" vertical="center" wrapText="1"/>
    </xf>
    <xf numFmtId="0" fontId="27" fillId="0" borderId="29" xfId="0" applyFont="1" applyFill="1" applyBorder="1" applyAlignment="1">
      <alignment horizontal="center" vertical="center" wrapText="1"/>
    </xf>
    <xf numFmtId="3" fontId="8" fillId="0" borderId="29" xfId="0" applyNumberFormat="1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10" fillId="0" borderId="0" xfId="18" applyFont="1">
      <alignment/>
      <protection/>
    </xf>
    <xf numFmtId="0" fontId="15" fillId="0" borderId="0" xfId="18" applyFont="1" applyAlignment="1">
      <alignment vertical="center"/>
      <protection/>
    </xf>
    <xf numFmtId="0" fontId="10" fillId="0" borderId="0" xfId="18" applyFont="1" applyAlignment="1">
      <alignment vertical="center"/>
      <protection/>
    </xf>
    <xf numFmtId="0" fontId="13" fillId="0" borderId="1" xfId="18" applyFont="1" applyBorder="1" applyAlignment="1">
      <alignment vertical="center" wrapText="1"/>
      <protection/>
    </xf>
    <xf numFmtId="0" fontId="10" fillId="0" borderId="0" xfId="18" applyFont="1" applyBorder="1" applyAlignment="1">
      <alignment vertical="center"/>
      <protection/>
    </xf>
    <xf numFmtId="0" fontId="40" fillId="0" borderId="0" xfId="18" applyFont="1" applyAlignment="1">
      <alignment vertical="center"/>
      <protection/>
    </xf>
    <xf numFmtId="0" fontId="10" fillId="3" borderId="0" xfId="18" applyFont="1" applyFill="1" applyBorder="1" applyAlignment="1">
      <alignment vertical="center"/>
      <protection/>
    </xf>
    <xf numFmtId="0" fontId="10" fillId="0" borderId="30" xfId="18" applyFont="1" applyBorder="1" applyAlignment="1">
      <alignment vertical="center"/>
      <protection/>
    </xf>
    <xf numFmtId="49" fontId="19" fillId="0" borderId="8" xfId="0" applyNumberFormat="1" applyFont="1" applyBorder="1" applyAlignment="1">
      <alignment horizontal="center"/>
    </xf>
    <xf numFmtId="3" fontId="19" fillId="0" borderId="8" xfId="0" applyNumberFormat="1" applyFont="1" applyBorder="1" applyAlignment="1">
      <alignment vertical="center"/>
    </xf>
    <xf numFmtId="0" fontId="19" fillId="0" borderId="8" xfId="0" applyFont="1" applyBorder="1" applyAlignment="1">
      <alignment horizontal="center"/>
    </xf>
    <xf numFmtId="3" fontId="7" fillId="0" borderId="0" xfId="0" applyNumberFormat="1" applyFont="1" applyAlignment="1">
      <alignment/>
    </xf>
    <xf numFmtId="0" fontId="0" fillId="0" borderId="5" xfId="0" applyBorder="1" applyAlignment="1">
      <alignment horizontal="left" vertical="center" indent="2"/>
    </xf>
    <xf numFmtId="0" fontId="1" fillId="0" borderId="7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Border="1" applyAlignment="1">
      <alignment horizontal="left" vertical="center" wrapText="1" indent="1"/>
    </xf>
    <xf numFmtId="3" fontId="0" fillId="0" borderId="23" xfId="0" applyNumberForma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29" xfId="0" applyFont="1" applyBorder="1" applyAlignment="1">
      <alignment vertical="center"/>
    </xf>
    <xf numFmtId="3" fontId="4" fillId="0" borderId="29" xfId="0" applyNumberFormat="1" applyFont="1" applyBorder="1" applyAlignment="1">
      <alignment vertical="center"/>
    </xf>
    <xf numFmtId="0" fontId="0" fillId="0" borderId="6" xfId="0" applyBorder="1" applyAlignment="1">
      <alignment horizontal="left" vertical="center" indent="2"/>
    </xf>
    <xf numFmtId="0" fontId="4" fillId="0" borderId="29" xfId="0" applyFont="1" applyBorder="1" applyAlignment="1">
      <alignment vertical="center" wrapText="1"/>
    </xf>
    <xf numFmtId="3" fontId="4" fillId="0" borderId="29" xfId="0" applyNumberFormat="1" applyFont="1" applyBorder="1" applyAlignment="1">
      <alignment horizontal="center" vertical="center"/>
    </xf>
    <xf numFmtId="3" fontId="0" fillId="0" borderId="31" xfId="0" applyNumberFormat="1" applyBorder="1" applyAlignment="1">
      <alignment vertical="center"/>
    </xf>
    <xf numFmtId="3" fontId="0" fillId="0" borderId="23" xfId="0" applyNumberFormat="1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3" fontId="26" fillId="0" borderId="0" xfId="0" applyNumberFormat="1" applyFont="1" applyAlignment="1">
      <alignment horizontal="center" vertical="center"/>
    </xf>
    <xf numFmtId="0" fontId="0" fillId="0" borderId="8" xfId="0" applyBorder="1" applyAlignment="1">
      <alignment horizontal="center"/>
    </xf>
    <xf numFmtId="0" fontId="22" fillId="0" borderId="8" xfId="0" applyFont="1" applyBorder="1" applyAlignment="1">
      <alignment horizontal="center" vertical="center"/>
    </xf>
    <xf numFmtId="0" fontId="19" fillId="0" borderId="8" xfId="0" applyFont="1" applyBorder="1" applyAlignment="1">
      <alignment horizontal="left" vertical="center" wrapText="1"/>
    </xf>
    <xf numFmtId="3" fontId="0" fillId="0" borderId="8" xfId="0" applyNumberFormat="1" applyBorder="1" applyAlignment="1">
      <alignment vertical="center"/>
    </xf>
    <xf numFmtId="0" fontId="19" fillId="0" borderId="1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25" fillId="0" borderId="5" xfId="0" applyNumberFormat="1" applyFont="1" applyBorder="1" applyAlignment="1">
      <alignment horizontal="center" vertical="center" wrapText="1"/>
    </xf>
    <xf numFmtId="0" fontId="22" fillId="0" borderId="8" xfId="0" applyFont="1" applyBorder="1" applyAlignment="1">
      <alignment horizontal="left" vertical="center"/>
    </xf>
    <xf numFmtId="3" fontId="25" fillId="0" borderId="5" xfId="0" applyNumberFormat="1" applyFont="1" applyBorder="1" applyAlignment="1">
      <alignment vertical="center" wrapText="1"/>
    </xf>
    <xf numFmtId="49" fontId="25" fillId="0" borderId="6" xfId="0" applyNumberFormat="1" applyFont="1" applyBorder="1" applyAlignment="1">
      <alignment horizontal="center" vertical="center" wrapText="1"/>
    </xf>
    <xf numFmtId="0" fontId="25" fillId="0" borderId="6" xfId="0" applyFont="1" applyBorder="1" applyAlignment="1">
      <alignment horizontal="left" vertical="center" wrapText="1"/>
    </xf>
    <xf numFmtId="3" fontId="25" fillId="0" borderId="6" xfId="0" applyNumberFormat="1" applyFont="1" applyBorder="1" applyAlignment="1">
      <alignment vertical="center" wrapText="1"/>
    </xf>
    <xf numFmtId="0" fontId="25" fillId="0" borderId="5" xfId="0" applyFont="1" applyBorder="1" applyAlignment="1">
      <alignment horizontal="left" vertical="center" wrapText="1"/>
    </xf>
    <xf numFmtId="49" fontId="25" fillId="0" borderId="8" xfId="0" applyNumberFormat="1" applyFont="1" applyBorder="1" applyAlignment="1">
      <alignment horizontal="center" vertical="center" wrapText="1"/>
    </xf>
    <xf numFmtId="0" fontId="25" fillId="0" borderId="8" xfId="0" applyFont="1" applyBorder="1" applyAlignment="1">
      <alignment horizontal="left" vertical="center" wrapText="1"/>
    </xf>
    <xf numFmtId="3" fontId="25" fillId="0" borderId="8" xfId="0" applyNumberFormat="1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49" fontId="25" fillId="0" borderId="23" xfId="0" applyNumberFormat="1" applyFont="1" applyBorder="1" applyAlignment="1">
      <alignment horizontal="center" vertical="center" wrapText="1"/>
    </xf>
    <xf numFmtId="0" fontId="25" fillId="0" borderId="23" xfId="0" applyFont="1" applyBorder="1" applyAlignment="1">
      <alignment horizontal="left" vertical="center" wrapText="1"/>
    </xf>
    <xf numFmtId="3" fontId="25" fillId="0" borderId="23" xfId="0" applyNumberFormat="1" applyFont="1" applyBorder="1" applyAlignment="1">
      <alignment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34" fillId="4" borderId="32" xfId="0" applyFont="1" applyFill="1" applyBorder="1" applyAlignment="1">
      <alignment horizontal="center" vertical="center" wrapText="1"/>
    </xf>
    <xf numFmtId="0" fontId="21" fillId="2" borderId="29" xfId="0" applyFont="1" applyFill="1" applyBorder="1" applyAlignment="1">
      <alignment horizontal="center" textRotation="90" wrapText="1"/>
    </xf>
    <xf numFmtId="0" fontId="21" fillId="2" borderId="21" xfId="0" applyFont="1" applyFill="1" applyBorder="1" applyAlignment="1">
      <alignment horizontal="center" textRotation="90" wrapText="1"/>
    </xf>
    <xf numFmtId="0" fontId="0" fillId="0" borderId="4" xfId="0" applyBorder="1" applyAlignment="1">
      <alignment horizontal="center"/>
    </xf>
    <xf numFmtId="49" fontId="0" fillId="0" borderId="4" xfId="0" applyNumberForma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34" fillId="4" borderId="10" xfId="0" applyFont="1" applyFill="1" applyBorder="1" applyAlignment="1">
      <alignment horizontal="center" vertical="center" wrapText="1"/>
    </xf>
    <xf numFmtId="3" fontId="34" fillId="0" borderId="1" xfId="0" applyNumberFormat="1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3" fontId="25" fillId="0" borderId="1" xfId="0" applyNumberFormat="1" applyFont="1" applyFill="1" applyBorder="1" applyAlignment="1">
      <alignment horizontal="right" vertical="center" wrapText="1"/>
    </xf>
    <xf numFmtId="3" fontId="35" fillId="0" borderId="23" xfId="0" applyNumberFormat="1" applyFont="1" applyFill="1" applyBorder="1" applyAlignment="1">
      <alignment vertical="center" wrapText="1"/>
    </xf>
    <xf numFmtId="3" fontId="34" fillId="0" borderId="33" xfId="0" applyNumberFormat="1" applyFont="1" applyFill="1" applyBorder="1" applyAlignment="1">
      <alignment vertical="center" wrapText="1"/>
    </xf>
    <xf numFmtId="3" fontId="34" fillId="0" borderId="34" xfId="0" applyNumberFormat="1" applyFont="1" applyFill="1" applyBorder="1" applyAlignment="1">
      <alignment vertical="center" wrapText="1"/>
    </xf>
    <xf numFmtId="3" fontId="10" fillId="0" borderId="35" xfId="0" applyNumberFormat="1" applyFont="1" applyFill="1" applyBorder="1" applyAlignment="1">
      <alignment vertical="center" wrapText="1"/>
    </xf>
    <xf numFmtId="3" fontId="10" fillId="0" borderId="36" xfId="0" applyNumberFormat="1" applyFont="1" applyFill="1" applyBorder="1" applyAlignment="1">
      <alignment vertical="center" wrapText="1"/>
    </xf>
    <xf numFmtId="0" fontId="25" fillId="0" borderId="37" xfId="0" applyFont="1" applyFill="1" applyBorder="1" applyAlignment="1">
      <alignment horizontal="center" vertical="center" wrapText="1"/>
    </xf>
    <xf numFmtId="0" fontId="10" fillId="0" borderId="38" xfId="0" applyFont="1" applyFill="1" applyBorder="1" applyAlignment="1">
      <alignment horizontal="left" vertical="center" wrapText="1"/>
    </xf>
    <xf numFmtId="0" fontId="10" fillId="0" borderId="16" xfId="0" applyNumberFormat="1" applyFont="1" applyFill="1" applyBorder="1" applyAlignment="1">
      <alignment horizontal="center" vertical="center" wrapText="1"/>
    </xf>
    <xf numFmtId="3" fontId="25" fillId="0" borderId="38" xfId="0" applyNumberFormat="1" applyFont="1" applyFill="1" applyBorder="1" applyAlignment="1">
      <alignment vertical="center" wrapText="1"/>
    </xf>
    <xf numFmtId="0" fontId="10" fillId="0" borderId="35" xfId="0" applyFont="1" applyFill="1" applyBorder="1" applyAlignment="1">
      <alignment vertical="center" wrapText="1"/>
    </xf>
    <xf numFmtId="0" fontId="10" fillId="0" borderId="39" xfId="0" applyFont="1" applyFill="1" applyBorder="1" applyAlignment="1">
      <alignment vertical="center" wrapText="1"/>
    </xf>
    <xf numFmtId="1" fontId="10" fillId="0" borderId="9" xfId="0" applyNumberFormat="1" applyFont="1" applyFill="1" applyBorder="1" applyAlignment="1">
      <alignment horizontal="center" vertical="center" wrapText="1"/>
    </xf>
    <xf numFmtId="3" fontId="25" fillId="0" borderId="10" xfId="0" applyNumberFormat="1" applyFont="1" applyFill="1" applyBorder="1" applyAlignment="1">
      <alignment vertical="center" wrapText="1"/>
    </xf>
    <xf numFmtId="0" fontId="10" fillId="0" borderId="16" xfId="0" applyFont="1" applyFill="1" applyBorder="1" applyAlignment="1">
      <alignment vertical="center" wrapText="1"/>
    </xf>
    <xf numFmtId="1" fontId="10" fillId="0" borderId="38" xfId="0" applyNumberFormat="1" applyFont="1" applyFill="1" applyBorder="1" applyAlignment="1">
      <alignment horizontal="center" vertical="center" wrapText="1"/>
    </xf>
    <xf numFmtId="0" fontId="10" fillId="0" borderId="40" xfId="0" applyFont="1" applyFill="1" applyBorder="1" applyAlignment="1">
      <alignment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vertical="center" wrapText="1"/>
    </xf>
    <xf numFmtId="3" fontId="34" fillId="0" borderId="15" xfId="0" applyNumberFormat="1" applyFont="1" applyFill="1" applyBorder="1" applyAlignment="1">
      <alignment vertical="center" wrapText="1"/>
    </xf>
    <xf numFmtId="0" fontId="25" fillId="0" borderId="4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25" fillId="0" borderId="37" xfId="0" applyFont="1" applyFill="1" applyBorder="1" applyAlignment="1">
      <alignment vertical="center" wrapText="1"/>
    </xf>
    <xf numFmtId="0" fontId="34" fillId="0" borderId="0" xfId="0" applyFont="1" applyFill="1" applyBorder="1" applyAlignment="1">
      <alignment textRotation="180"/>
    </xf>
    <xf numFmtId="0" fontId="25" fillId="0" borderId="0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3" fontId="10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10" fontId="10" fillId="0" borderId="1" xfId="0" applyNumberFormat="1" applyFont="1" applyBorder="1" applyAlignment="1">
      <alignment horizontal="right" vertical="center" wrapText="1"/>
    </xf>
    <xf numFmtId="0" fontId="0" fillId="0" borderId="3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21" fillId="2" borderId="42" xfId="0" applyFont="1" applyFill="1" applyBorder="1" applyAlignment="1">
      <alignment wrapText="1"/>
    </xf>
    <xf numFmtId="0" fontId="0" fillId="2" borderId="43" xfId="0" applyFill="1" applyBorder="1" applyAlignment="1">
      <alignment/>
    </xf>
    <xf numFmtId="0" fontId="0" fillId="2" borderId="44" xfId="0" applyFill="1" applyBorder="1" applyAlignment="1">
      <alignment/>
    </xf>
    <xf numFmtId="0" fontId="10" fillId="0" borderId="9" xfId="0" applyFont="1" applyFill="1" applyBorder="1" applyAlignment="1">
      <alignment horizontal="center" vertical="center" wrapText="1"/>
    </xf>
    <xf numFmtId="0" fontId="27" fillId="0" borderId="45" xfId="0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center" vertical="center" wrapText="1"/>
    </xf>
    <xf numFmtId="3" fontId="8" fillId="0" borderId="7" xfId="0" applyNumberFormat="1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left" vertical="center" wrapText="1"/>
    </xf>
    <xf numFmtId="3" fontId="25" fillId="0" borderId="9" xfId="0" applyNumberFormat="1" applyFont="1" applyFill="1" applyBorder="1" applyAlignment="1">
      <alignment horizontal="right" vertical="center" wrapText="1"/>
    </xf>
    <xf numFmtId="3" fontId="27" fillId="0" borderId="1" xfId="0" applyNumberFormat="1" applyFont="1" applyFill="1" applyBorder="1" applyAlignment="1">
      <alignment vertical="center" wrapText="1"/>
    </xf>
    <xf numFmtId="0" fontId="8" fillId="0" borderId="46" xfId="0" applyFont="1" applyFill="1" applyBorder="1" applyAlignment="1">
      <alignment horizontal="center" vertical="center" wrapText="1"/>
    </xf>
    <xf numFmtId="0" fontId="25" fillId="0" borderId="47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10" fillId="0" borderId="48" xfId="0" applyFont="1" applyFill="1" applyBorder="1" applyAlignment="1">
      <alignment vertical="center" wrapText="1"/>
    </xf>
    <xf numFmtId="0" fontId="12" fillId="0" borderId="4" xfId="0" applyFont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9" fontId="0" fillId="0" borderId="5" xfId="0" applyNumberForma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3" fontId="0" fillId="0" borderId="49" xfId="0" applyNumberFormat="1" applyBorder="1" applyAlignment="1">
      <alignment vertical="center"/>
    </xf>
    <xf numFmtId="3" fontId="0" fillId="0" borderId="50" xfId="0" applyNumberFormat="1" applyBorder="1" applyAlignment="1">
      <alignment vertical="center"/>
    </xf>
    <xf numFmtId="3" fontId="0" fillId="0" borderId="51" xfId="0" applyNumberForma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3" fontId="0" fillId="0" borderId="24" xfId="0" applyNumberFormat="1" applyBorder="1" applyAlignment="1">
      <alignment vertical="center"/>
    </xf>
    <xf numFmtId="3" fontId="0" fillId="0" borderId="52" xfId="0" applyNumberFormat="1" applyBorder="1" applyAlignment="1">
      <alignment vertical="center"/>
    </xf>
    <xf numFmtId="3" fontId="0" fillId="0" borderId="15" xfId="0" applyNumberFormat="1" applyBorder="1" applyAlignment="1">
      <alignment vertical="center"/>
    </xf>
    <xf numFmtId="0" fontId="1" fillId="0" borderId="53" xfId="0" applyFont="1" applyBorder="1" applyAlignment="1">
      <alignment horizontal="center" vertical="center"/>
    </xf>
    <xf numFmtId="10" fontId="27" fillId="0" borderId="9" xfId="0" applyNumberFormat="1" applyFont="1" applyBorder="1" applyAlignment="1">
      <alignment vertical="center" wrapText="1"/>
    </xf>
    <xf numFmtId="10" fontId="27" fillId="0" borderId="54" xfId="0" applyNumberFormat="1" applyFont="1" applyBorder="1" applyAlignment="1">
      <alignment vertical="center" wrapText="1"/>
    </xf>
    <xf numFmtId="10" fontId="27" fillId="0" borderId="11" xfId="0" applyNumberFormat="1" applyFont="1" applyBorder="1" applyAlignment="1">
      <alignment vertical="center" wrapText="1"/>
    </xf>
    <xf numFmtId="10" fontId="27" fillId="0" borderId="55" xfId="0" applyNumberFormat="1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3" fontId="7" fillId="5" borderId="1" xfId="0" applyNumberFormat="1" applyFont="1" applyFill="1" applyBorder="1" applyAlignment="1">
      <alignment vertical="center"/>
    </xf>
    <xf numFmtId="3" fontId="7" fillId="5" borderId="10" xfId="0" applyNumberFormat="1" applyFont="1" applyFill="1" applyBorder="1" applyAlignment="1">
      <alignment vertical="center"/>
    </xf>
    <xf numFmtId="10" fontId="27" fillId="5" borderId="9" xfId="0" applyNumberFormat="1" applyFont="1" applyFill="1" applyBorder="1" applyAlignment="1">
      <alignment vertical="center" wrapText="1"/>
    </xf>
    <xf numFmtId="0" fontId="7" fillId="5" borderId="1" xfId="0" applyFont="1" applyFill="1" applyBorder="1" applyAlignment="1">
      <alignment horizontal="center"/>
    </xf>
    <xf numFmtId="0" fontId="20" fillId="5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 wrapText="1"/>
    </xf>
    <xf numFmtId="0" fontId="19" fillId="5" borderId="1" xfId="0" applyFont="1" applyFill="1" applyBorder="1" applyAlignment="1">
      <alignment horizontal="center" vertical="center"/>
    </xf>
    <xf numFmtId="3" fontId="20" fillId="5" borderId="1" xfId="0" applyNumberFormat="1" applyFont="1" applyFill="1" applyBorder="1" applyAlignment="1">
      <alignment vertical="center"/>
    </xf>
    <xf numFmtId="3" fontId="20" fillId="5" borderId="10" xfId="0" applyNumberFormat="1" applyFont="1" applyFill="1" applyBorder="1" applyAlignment="1">
      <alignment vertical="center"/>
    </xf>
    <xf numFmtId="3" fontId="5" fillId="5" borderId="29" xfId="0" applyNumberFormat="1" applyFont="1" applyFill="1" applyBorder="1" applyAlignment="1">
      <alignment vertical="center"/>
    </xf>
    <xf numFmtId="3" fontId="5" fillId="5" borderId="42" xfId="0" applyNumberFormat="1" applyFont="1" applyFill="1" applyBorder="1" applyAlignment="1">
      <alignment vertical="center"/>
    </xf>
    <xf numFmtId="3" fontId="5" fillId="5" borderId="57" xfId="0" applyNumberFormat="1" applyFont="1" applyFill="1" applyBorder="1" applyAlignment="1">
      <alignment vertical="center"/>
    </xf>
    <xf numFmtId="10" fontId="27" fillId="5" borderId="27" xfId="0" applyNumberFormat="1" applyFont="1" applyFill="1" applyBorder="1" applyAlignment="1">
      <alignment vertical="center" wrapText="1"/>
    </xf>
    <xf numFmtId="3" fontId="7" fillId="6" borderId="58" xfId="0" applyNumberFormat="1" applyFont="1" applyFill="1" applyBorder="1" applyAlignment="1">
      <alignment vertical="center"/>
    </xf>
    <xf numFmtId="3" fontId="7" fillId="6" borderId="59" xfId="0" applyNumberFormat="1" applyFont="1" applyFill="1" applyBorder="1" applyAlignment="1">
      <alignment vertical="center"/>
    </xf>
    <xf numFmtId="3" fontId="7" fillId="6" borderId="60" xfId="0" applyNumberFormat="1" applyFont="1" applyFill="1" applyBorder="1" applyAlignment="1">
      <alignment vertical="center"/>
    </xf>
    <xf numFmtId="3" fontId="7" fillId="6" borderId="61" xfId="0" applyNumberFormat="1" applyFont="1" applyFill="1" applyBorder="1" applyAlignment="1">
      <alignment vertical="center"/>
    </xf>
    <xf numFmtId="3" fontId="7" fillId="6" borderId="62" xfId="0" applyNumberFormat="1" applyFont="1" applyFill="1" applyBorder="1" applyAlignment="1">
      <alignment vertical="center"/>
    </xf>
    <xf numFmtId="3" fontId="7" fillId="6" borderId="63" xfId="0" applyNumberFormat="1" applyFont="1" applyFill="1" applyBorder="1" applyAlignment="1">
      <alignment vertical="center"/>
    </xf>
    <xf numFmtId="3" fontId="20" fillId="6" borderId="58" xfId="0" applyNumberFormat="1" applyFont="1" applyFill="1" applyBorder="1" applyAlignment="1">
      <alignment vertical="center"/>
    </xf>
    <xf numFmtId="0" fontId="12" fillId="0" borderId="8" xfId="0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49" fontId="19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top" wrapText="1"/>
    </xf>
    <xf numFmtId="3" fontId="19" fillId="0" borderId="1" xfId="0" applyNumberFormat="1" applyFont="1" applyBorder="1" applyAlignment="1">
      <alignment vertical="center"/>
    </xf>
    <xf numFmtId="3" fontId="19" fillId="0" borderId="10" xfId="0" applyNumberFormat="1" applyFont="1" applyBorder="1" applyAlignment="1">
      <alignment vertical="center"/>
    </xf>
    <xf numFmtId="0" fontId="0" fillId="0" borderId="8" xfId="0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vertical="center" wrapText="1"/>
    </xf>
    <xf numFmtId="0" fontId="0" fillId="0" borderId="5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19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 wrapText="1"/>
    </xf>
    <xf numFmtId="0" fontId="0" fillId="0" borderId="23" xfId="0" applyBorder="1" applyAlignment="1">
      <alignment vertical="center" wrapText="1"/>
    </xf>
    <xf numFmtId="3" fontId="7" fillId="6" borderId="56" xfId="0" applyNumberFormat="1" applyFont="1" applyFill="1" applyBorder="1" applyAlignment="1">
      <alignment vertical="center"/>
    </xf>
    <xf numFmtId="10" fontId="27" fillId="0" borderId="53" xfId="0" applyNumberFormat="1" applyFont="1" applyBorder="1" applyAlignment="1">
      <alignment vertical="center" wrapText="1"/>
    </xf>
    <xf numFmtId="10" fontId="27" fillId="0" borderId="64" xfId="0" applyNumberFormat="1" applyFont="1" applyBorder="1" applyAlignment="1">
      <alignment vertical="center" wrapText="1"/>
    </xf>
    <xf numFmtId="3" fontId="0" fillId="0" borderId="5" xfId="0" applyNumberFormat="1" applyFont="1" applyBorder="1" applyAlignment="1">
      <alignment vertical="center"/>
    </xf>
    <xf numFmtId="0" fontId="1" fillId="0" borderId="58" xfId="0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vertical="center"/>
    </xf>
    <xf numFmtId="3" fontId="0" fillId="0" borderId="0" xfId="0" applyNumberFormat="1" applyFill="1" applyBorder="1" applyAlignment="1">
      <alignment vertical="center"/>
    </xf>
    <xf numFmtId="10" fontId="27" fillId="0" borderId="0" xfId="0" applyNumberFormat="1" applyFont="1" applyFill="1" applyBorder="1" applyAlignment="1">
      <alignment vertical="center" wrapText="1"/>
    </xf>
    <xf numFmtId="3" fontId="0" fillId="0" borderId="10" xfId="0" applyNumberFormat="1" applyBorder="1" applyAlignment="1">
      <alignment vertical="center"/>
    </xf>
    <xf numFmtId="49" fontId="22" fillId="0" borderId="5" xfId="0" applyNumberFormat="1" applyFont="1" applyBorder="1" applyAlignment="1">
      <alignment horizontal="center" vertical="center"/>
    </xf>
    <xf numFmtId="49" fontId="22" fillId="0" borderId="8" xfId="0" applyNumberFormat="1" applyFont="1" applyBorder="1" applyAlignment="1">
      <alignment horizontal="center" vertical="center"/>
    </xf>
    <xf numFmtId="0" fontId="0" fillId="0" borderId="23" xfId="0" applyBorder="1" applyAlignment="1">
      <alignment vertical="top" wrapText="1"/>
    </xf>
    <xf numFmtId="0" fontId="22" fillId="0" borderId="8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center" vertical="center"/>
    </xf>
    <xf numFmtId="0" fontId="13" fillId="0" borderId="23" xfId="18" applyFont="1" applyBorder="1" applyAlignment="1">
      <alignment vertical="center"/>
      <protection/>
    </xf>
    <xf numFmtId="0" fontId="38" fillId="0" borderId="0" xfId="0" applyFont="1" applyAlignment="1">
      <alignment horizontal="right"/>
    </xf>
    <xf numFmtId="0" fontId="41" fillId="0" borderId="0" xfId="0" applyFont="1" applyAlignment="1">
      <alignment/>
    </xf>
    <xf numFmtId="0" fontId="44" fillId="0" borderId="0" xfId="0" applyFont="1" applyAlignment="1">
      <alignment/>
    </xf>
    <xf numFmtId="0" fontId="10" fillId="0" borderId="1" xfId="0" applyFont="1" applyFill="1" applyBorder="1" applyAlignment="1">
      <alignment vertical="top" wrapText="1"/>
    </xf>
    <xf numFmtId="0" fontId="0" fillId="0" borderId="65" xfId="0" applyFont="1" applyBorder="1" applyAlignment="1">
      <alignment vertical="center" wrapText="1"/>
    </xf>
    <xf numFmtId="0" fontId="0" fillId="0" borderId="8" xfId="0" applyFont="1" applyBorder="1" applyAlignment="1">
      <alignment horizontal="center" vertical="center"/>
    </xf>
    <xf numFmtId="49" fontId="0" fillId="0" borderId="8" xfId="0" applyNumberFormat="1" applyFont="1" applyBorder="1" applyAlignment="1">
      <alignment horizontal="center" vertical="center"/>
    </xf>
    <xf numFmtId="3" fontId="0" fillId="0" borderId="8" xfId="0" applyNumberFormat="1" applyFont="1" applyBorder="1" applyAlignment="1">
      <alignment horizontal="right" vertical="center" wrapText="1"/>
    </xf>
    <xf numFmtId="0" fontId="4" fillId="0" borderId="27" xfId="0" applyFont="1" applyBorder="1" applyAlignment="1">
      <alignment horizontal="center" vertical="center"/>
    </xf>
    <xf numFmtId="3" fontId="4" fillId="0" borderId="21" xfId="0" applyNumberFormat="1" applyFont="1" applyBorder="1" applyAlignment="1">
      <alignment vertical="center"/>
    </xf>
    <xf numFmtId="0" fontId="0" fillId="0" borderId="6" xfId="0" applyFont="1" applyBorder="1" applyAlignment="1">
      <alignment/>
    </xf>
    <xf numFmtId="0" fontId="0" fillId="0" borderId="29" xfId="0" applyFont="1" applyBorder="1" applyAlignment="1">
      <alignment vertical="center"/>
    </xf>
    <xf numFmtId="3" fontId="0" fillId="0" borderId="21" xfId="0" applyNumberFormat="1" applyFont="1" applyBorder="1" applyAlignment="1">
      <alignment vertical="center"/>
    </xf>
    <xf numFmtId="0" fontId="0" fillId="0" borderId="5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center" wrapText="1"/>
    </xf>
    <xf numFmtId="3" fontId="10" fillId="0" borderId="10" xfId="0" applyNumberFormat="1" applyFont="1" applyBorder="1" applyAlignment="1">
      <alignment horizontal="right" vertical="center" wrapText="1"/>
    </xf>
    <xf numFmtId="3" fontId="13" fillId="0" borderId="10" xfId="0" applyNumberFormat="1" applyFont="1" applyBorder="1" applyAlignment="1">
      <alignment horizontal="right" vertical="center" wrapText="1"/>
    </xf>
    <xf numFmtId="3" fontId="31" fillId="0" borderId="10" xfId="0" applyNumberFormat="1" applyFont="1" applyBorder="1" applyAlignment="1">
      <alignment horizontal="right" vertical="center" wrapText="1"/>
    </xf>
    <xf numFmtId="10" fontId="10" fillId="0" borderId="10" xfId="0" applyNumberFormat="1" applyFont="1" applyBorder="1" applyAlignment="1">
      <alignment horizontal="right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5" fillId="0" borderId="9" xfId="0" applyFont="1" applyBorder="1" applyAlignment="1">
      <alignment horizontal="center" wrapText="1"/>
    </xf>
    <xf numFmtId="3" fontId="10" fillId="0" borderId="9" xfId="0" applyNumberFormat="1" applyFont="1" applyBorder="1" applyAlignment="1">
      <alignment horizontal="right" vertical="center" wrapText="1"/>
    </xf>
    <xf numFmtId="3" fontId="13" fillId="0" borderId="9" xfId="0" applyNumberFormat="1" applyFont="1" applyBorder="1" applyAlignment="1">
      <alignment horizontal="right" vertical="center" wrapText="1"/>
    </xf>
    <xf numFmtId="3" fontId="31" fillId="0" borderId="9" xfId="0" applyNumberFormat="1" applyFont="1" applyBorder="1" applyAlignment="1">
      <alignment horizontal="right" vertical="center" wrapText="1"/>
    </xf>
    <xf numFmtId="10" fontId="10" fillId="0" borderId="9" xfId="0" applyNumberFormat="1" applyFont="1" applyBorder="1" applyAlignment="1">
      <alignment horizontal="right" vertical="center" wrapText="1"/>
    </xf>
    <xf numFmtId="0" fontId="13" fillId="2" borderId="66" xfId="0" applyFont="1" applyFill="1" applyBorder="1" applyAlignment="1">
      <alignment horizontal="center" vertical="center" wrapText="1"/>
    </xf>
    <xf numFmtId="0" fontId="15" fillId="0" borderId="58" xfId="0" applyFont="1" applyBorder="1" applyAlignment="1">
      <alignment horizontal="center" wrapText="1"/>
    </xf>
    <xf numFmtId="3" fontId="10" fillId="0" borderId="58" xfId="0" applyNumberFormat="1" applyFont="1" applyBorder="1" applyAlignment="1">
      <alignment horizontal="right" vertical="center" wrapText="1"/>
    </xf>
    <xf numFmtId="3" fontId="13" fillId="0" borderId="58" xfId="0" applyNumberFormat="1" applyFont="1" applyBorder="1" applyAlignment="1">
      <alignment horizontal="right" vertical="center" wrapText="1"/>
    </xf>
    <xf numFmtId="3" fontId="31" fillId="0" borderId="58" xfId="0" applyNumberFormat="1" applyFont="1" applyBorder="1" applyAlignment="1">
      <alignment horizontal="right" vertical="center" wrapText="1"/>
    </xf>
    <xf numFmtId="10" fontId="10" fillId="0" borderId="58" xfId="0" applyNumberFormat="1" applyFont="1" applyBorder="1" applyAlignment="1">
      <alignment horizontal="right" vertical="center" wrapText="1"/>
    </xf>
    <xf numFmtId="10" fontId="10" fillId="0" borderId="67" xfId="0" applyNumberFormat="1" applyFont="1" applyBorder="1" applyAlignment="1">
      <alignment horizontal="right" vertical="center" wrapText="1"/>
    </xf>
    <xf numFmtId="3" fontId="25" fillId="0" borderId="9" xfId="0" applyNumberFormat="1" applyFont="1" applyFill="1" applyBorder="1" applyAlignment="1">
      <alignment vertical="center" wrapText="1"/>
    </xf>
    <xf numFmtId="3" fontId="10" fillId="0" borderId="68" xfId="0" applyNumberFormat="1" applyFont="1" applyFill="1" applyBorder="1" applyAlignment="1">
      <alignment vertical="center" wrapText="1"/>
    </xf>
    <xf numFmtId="3" fontId="10" fillId="0" borderId="15" xfId="0" applyNumberFormat="1" applyFont="1" applyFill="1" applyBorder="1" applyAlignment="1">
      <alignment vertical="center" wrapText="1"/>
    </xf>
    <xf numFmtId="0" fontId="4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3" xfId="0" applyFont="1" applyBorder="1" applyAlignment="1">
      <alignment horizontal="left" vertical="center"/>
    </xf>
    <xf numFmtId="3" fontId="12" fillId="0" borderId="2" xfId="0" applyNumberFormat="1" applyFont="1" applyBorder="1" applyAlignment="1">
      <alignment horizontal="center" vertical="center"/>
    </xf>
    <xf numFmtId="3" fontId="12" fillId="0" borderId="5" xfId="0" applyNumberFormat="1" applyFont="1" applyBorder="1" applyAlignment="1">
      <alignment horizontal="center" vertical="center"/>
    </xf>
    <xf numFmtId="0" fontId="13" fillId="0" borderId="23" xfId="18" applyFont="1" applyBorder="1" applyAlignment="1">
      <alignment vertical="center" wrapText="1"/>
      <protection/>
    </xf>
    <xf numFmtId="0" fontId="13" fillId="0" borderId="13" xfId="18" applyFont="1" applyBorder="1" applyAlignment="1">
      <alignment vertical="center"/>
      <protection/>
    </xf>
    <xf numFmtId="0" fontId="13" fillId="0" borderId="23" xfId="18" applyFont="1" applyBorder="1" applyAlignment="1">
      <alignment vertical="center"/>
      <protection/>
    </xf>
    <xf numFmtId="0" fontId="13" fillId="0" borderId="0" xfId="0" applyFont="1" applyAlignment="1">
      <alignment/>
    </xf>
    <xf numFmtId="0" fontId="19" fillId="0" borderId="23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3" fontId="0" fillId="0" borderId="69" xfId="0" applyNumberFormat="1" applyBorder="1" applyAlignment="1">
      <alignment vertical="center"/>
    </xf>
    <xf numFmtId="3" fontId="7" fillId="6" borderId="70" xfId="0" applyNumberFormat="1" applyFont="1" applyFill="1" applyBorder="1" applyAlignment="1">
      <alignment vertical="center"/>
    </xf>
    <xf numFmtId="10" fontId="27" fillId="0" borderId="71" xfId="0" applyNumberFormat="1" applyFont="1" applyBorder="1" applyAlignment="1">
      <alignment vertical="center" wrapText="1"/>
    </xf>
    <xf numFmtId="0" fontId="19" fillId="0" borderId="4" xfId="0" applyFont="1" applyBorder="1" applyAlignment="1">
      <alignment horizontal="center"/>
    </xf>
    <xf numFmtId="0" fontId="20" fillId="0" borderId="1" xfId="0" applyFont="1" applyBorder="1" applyAlignment="1">
      <alignment horizontal="center" vertical="center"/>
    </xf>
    <xf numFmtId="49" fontId="20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49" fontId="45" fillId="5" borderId="1" xfId="0" applyNumberFormat="1" applyFont="1" applyFill="1" applyBorder="1" applyAlignment="1">
      <alignment horizontal="center"/>
    </xf>
    <xf numFmtId="49" fontId="45" fillId="5" borderId="1" xfId="0" applyNumberFormat="1" applyFont="1" applyFill="1" applyBorder="1" applyAlignment="1">
      <alignment horizontal="center" vertical="center"/>
    </xf>
    <xf numFmtId="0" fontId="45" fillId="5" borderId="1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top" wrapText="1"/>
    </xf>
    <xf numFmtId="0" fontId="45" fillId="5" borderId="1" xfId="0" applyFont="1" applyFill="1" applyBorder="1" applyAlignment="1">
      <alignment horizontal="center"/>
    </xf>
    <xf numFmtId="0" fontId="46" fillId="5" borderId="1" xfId="0" applyFont="1" applyFill="1" applyBorder="1" applyAlignment="1">
      <alignment horizontal="center" vertical="center"/>
    </xf>
    <xf numFmtId="0" fontId="45" fillId="5" borderId="1" xfId="0" applyFont="1" applyFill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20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top" wrapText="1"/>
    </xf>
    <xf numFmtId="0" fontId="45" fillId="5" borderId="1" xfId="0" applyFont="1" applyFill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center"/>
    </xf>
    <xf numFmtId="3" fontId="10" fillId="0" borderId="0" xfId="0" applyNumberFormat="1" applyFont="1" applyFill="1" applyBorder="1" applyAlignment="1">
      <alignment vertical="center" wrapText="1"/>
    </xf>
    <xf numFmtId="3" fontId="25" fillId="0" borderId="72" xfId="0" applyNumberFormat="1" applyFont="1" applyFill="1" applyBorder="1" applyAlignment="1">
      <alignment vertical="center" wrapText="1"/>
    </xf>
    <xf numFmtId="3" fontId="10" fillId="0" borderId="73" xfId="0" applyNumberFormat="1" applyFont="1" applyFill="1" applyBorder="1" applyAlignment="1">
      <alignment vertical="center" wrapText="1"/>
    </xf>
    <xf numFmtId="3" fontId="25" fillId="0" borderId="53" xfId="0" applyNumberFormat="1" applyFont="1" applyFill="1" applyBorder="1" applyAlignment="1">
      <alignment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3" fontId="10" fillId="0" borderId="24" xfId="0" applyNumberFormat="1" applyFont="1" applyFill="1" applyBorder="1" applyAlignment="1">
      <alignment vertical="center" wrapText="1"/>
    </xf>
    <xf numFmtId="3" fontId="10" fillId="0" borderId="15" xfId="0" applyNumberFormat="1" applyFont="1" applyBorder="1" applyAlignment="1">
      <alignment vertical="center" wrapText="1"/>
    </xf>
    <xf numFmtId="3" fontId="10" fillId="0" borderId="24" xfId="0" applyNumberFormat="1" applyFont="1" applyBorder="1" applyAlignment="1">
      <alignment vertical="center" wrapText="1"/>
    </xf>
    <xf numFmtId="3" fontId="25" fillId="0" borderId="73" xfId="0" applyNumberFormat="1" applyFont="1" applyFill="1" applyBorder="1" applyAlignment="1">
      <alignment vertical="center" wrapText="1"/>
    </xf>
    <xf numFmtId="3" fontId="25" fillId="0" borderId="12" xfId="0" applyNumberFormat="1" applyFont="1" applyFill="1" applyBorder="1" applyAlignment="1">
      <alignment vertical="center" wrapText="1"/>
    </xf>
    <xf numFmtId="3" fontId="25" fillId="0" borderId="30" xfId="0" applyNumberFormat="1" applyFont="1" applyFill="1" applyBorder="1" applyAlignment="1">
      <alignment vertical="center" wrapText="1"/>
    </xf>
    <xf numFmtId="0" fontId="34" fillId="4" borderId="12" xfId="0" applyFont="1" applyFill="1" applyBorder="1" applyAlignment="1">
      <alignment horizontal="center" vertical="center" wrapText="1"/>
    </xf>
    <xf numFmtId="0" fontId="4" fillId="4" borderId="72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3" fontId="34" fillId="0" borderId="74" xfId="0" applyNumberFormat="1" applyFont="1" applyFill="1" applyBorder="1" applyAlignment="1">
      <alignment vertical="center" wrapText="1"/>
    </xf>
    <xf numFmtId="3" fontId="25" fillId="0" borderId="23" xfId="0" applyNumberFormat="1" applyFont="1" applyFill="1" applyBorder="1" applyAlignment="1">
      <alignment vertical="center" wrapText="1"/>
    </xf>
    <xf numFmtId="0" fontId="27" fillId="0" borderId="23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3" fillId="0" borderId="0" xfId="0" applyFont="1" applyBorder="1" applyAlignment="1">
      <alignment/>
    </xf>
    <xf numFmtId="3" fontId="10" fillId="0" borderId="10" xfId="0" applyNumberFormat="1" applyFont="1" applyBorder="1" applyAlignment="1">
      <alignment vertical="center" wrapText="1"/>
    </xf>
    <xf numFmtId="3" fontId="10" fillId="0" borderId="10" xfId="0" applyNumberFormat="1" applyFont="1" applyFill="1" applyBorder="1" applyAlignment="1">
      <alignment vertical="center" wrapText="1"/>
    </xf>
    <xf numFmtId="3" fontId="25" fillId="0" borderId="12" xfId="0" applyNumberFormat="1" applyFont="1" applyBorder="1" applyAlignment="1">
      <alignment vertical="center" wrapText="1"/>
    </xf>
    <xf numFmtId="3" fontId="13" fillId="0" borderId="34" xfId="0" applyNumberFormat="1" applyFont="1" applyBorder="1" applyAlignment="1">
      <alignment vertical="center" wrapText="1"/>
    </xf>
    <xf numFmtId="3" fontId="34" fillId="0" borderId="32" xfId="0" applyNumberFormat="1" applyFont="1" applyFill="1" applyBorder="1" applyAlignment="1">
      <alignment vertical="center" wrapText="1"/>
    </xf>
    <xf numFmtId="3" fontId="34" fillId="0" borderId="75" xfId="0" applyNumberFormat="1" applyFont="1" applyFill="1" applyBorder="1" applyAlignment="1">
      <alignment vertical="center" wrapText="1"/>
    </xf>
    <xf numFmtId="3" fontId="25" fillId="0" borderId="76" xfId="0" applyNumberFormat="1" applyFont="1" applyFill="1" applyBorder="1" applyAlignment="1">
      <alignment vertical="center" wrapText="1"/>
    </xf>
    <xf numFmtId="3" fontId="10" fillId="0" borderId="17" xfId="0" applyNumberFormat="1" applyFont="1" applyFill="1" applyBorder="1" applyAlignment="1">
      <alignment vertical="center" wrapText="1"/>
    </xf>
    <xf numFmtId="3" fontId="25" fillId="0" borderId="40" xfId="0" applyNumberFormat="1" applyFont="1" applyFill="1" applyBorder="1" applyAlignment="1">
      <alignment vertical="center" wrapText="1"/>
    </xf>
    <xf numFmtId="0" fontId="10" fillId="0" borderId="0" xfId="18" applyFont="1" applyBorder="1" applyAlignment="1">
      <alignment horizontal="center" vertical="center"/>
      <protection/>
    </xf>
    <xf numFmtId="0" fontId="13" fillId="0" borderId="0" xfId="18" applyFont="1" applyBorder="1" applyAlignment="1">
      <alignment horizontal="center" vertical="center"/>
      <protection/>
    </xf>
    <xf numFmtId="3" fontId="13" fillId="0" borderId="0" xfId="18" applyNumberFormat="1" applyFont="1" applyBorder="1" applyAlignment="1">
      <alignment horizontal="center" vertical="center"/>
      <protection/>
    </xf>
    <xf numFmtId="0" fontId="10" fillId="0" borderId="28" xfId="18" applyFont="1" applyBorder="1" applyAlignment="1">
      <alignment horizontal="center" vertical="center"/>
      <protection/>
    </xf>
    <xf numFmtId="0" fontId="10" fillId="0" borderId="29" xfId="18" applyFont="1" applyBorder="1" applyAlignment="1">
      <alignment vertical="center"/>
      <protection/>
    </xf>
    <xf numFmtId="0" fontId="34" fillId="0" borderId="0" xfId="18" applyFont="1" applyBorder="1" applyAlignment="1">
      <alignment horizontal="center" vertical="top" wrapText="1"/>
      <protection/>
    </xf>
    <xf numFmtId="0" fontId="27" fillId="0" borderId="0" xfId="0" applyFont="1" applyBorder="1" applyAlignment="1">
      <alignment horizontal="right" vertical="center"/>
    </xf>
    <xf numFmtId="0" fontId="15" fillId="0" borderId="23" xfId="18" applyFont="1" applyBorder="1" applyAlignment="1">
      <alignment horizontal="center" vertical="center" wrapText="1"/>
      <protection/>
    </xf>
    <xf numFmtId="3" fontId="15" fillId="0" borderId="23" xfId="18" applyNumberFormat="1" applyFont="1" applyBorder="1" applyAlignment="1">
      <alignment horizontal="center" vertical="center"/>
      <protection/>
    </xf>
    <xf numFmtId="0" fontId="39" fillId="2" borderId="16" xfId="18" applyFont="1" applyFill="1" applyBorder="1" applyAlignment="1">
      <alignment horizontal="center" vertical="center" wrapText="1"/>
      <protection/>
    </xf>
    <xf numFmtId="0" fontId="39" fillId="2" borderId="40" xfId="18" applyFont="1" applyFill="1" applyBorder="1" applyAlignment="1">
      <alignment horizontal="center" vertical="center" wrapText="1"/>
      <protection/>
    </xf>
    <xf numFmtId="3" fontId="26" fillId="0" borderId="23" xfId="18" applyNumberFormat="1" applyFont="1" applyBorder="1" applyAlignment="1">
      <alignment horizontal="center" vertical="center"/>
      <protection/>
    </xf>
    <xf numFmtId="3" fontId="26" fillId="0" borderId="1" xfId="18" applyNumberFormat="1" applyFont="1" applyBorder="1" applyAlignment="1">
      <alignment horizontal="center" vertical="center"/>
      <protection/>
    </xf>
    <xf numFmtId="3" fontId="24" fillId="0" borderId="1" xfId="18" applyNumberFormat="1" applyFont="1" applyBorder="1" applyAlignment="1">
      <alignment horizontal="center" vertical="center"/>
      <protection/>
    </xf>
    <xf numFmtId="3" fontId="24" fillId="0" borderId="18" xfId="18" applyNumberFormat="1" applyFont="1" applyBorder="1" applyAlignment="1">
      <alignment horizontal="center" vertical="center"/>
      <protection/>
    </xf>
    <xf numFmtId="1" fontId="26" fillId="0" borderId="1" xfId="18" applyNumberFormat="1" applyFont="1" applyBorder="1" applyAlignment="1">
      <alignment horizontal="center" vertical="center"/>
      <protection/>
    </xf>
    <xf numFmtId="1" fontId="26" fillId="0" borderId="23" xfId="18" applyNumberFormat="1" applyFont="1" applyBorder="1" applyAlignment="1">
      <alignment horizontal="center" vertical="center"/>
      <protection/>
    </xf>
    <xf numFmtId="195" fontId="24" fillId="0" borderId="1" xfId="18" applyNumberFormat="1" applyFont="1" applyBorder="1" applyAlignment="1">
      <alignment horizontal="center" vertical="center"/>
      <protection/>
    </xf>
    <xf numFmtId="195" fontId="24" fillId="0" borderId="18" xfId="18" applyNumberFormat="1" applyFont="1" applyBorder="1" applyAlignment="1">
      <alignment horizontal="center" vertical="center"/>
      <protection/>
    </xf>
    <xf numFmtId="1" fontId="24" fillId="0" borderId="1" xfId="18" applyNumberFormat="1" applyFont="1" applyBorder="1" applyAlignment="1">
      <alignment horizontal="center" vertical="center"/>
      <protection/>
    </xf>
    <xf numFmtId="3" fontId="24" fillId="0" borderId="7" xfId="18" applyNumberFormat="1" applyFont="1" applyBorder="1" applyAlignment="1">
      <alignment horizontal="center" vertical="center"/>
      <protection/>
    </xf>
    <xf numFmtId="195" fontId="24" fillId="0" borderId="7" xfId="18" applyNumberFormat="1" applyFont="1" applyBorder="1" applyAlignment="1">
      <alignment horizontal="center" vertical="center"/>
      <protection/>
    </xf>
    <xf numFmtId="0" fontId="24" fillId="0" borderId="1" xfId="18" applyNumberFormat="1" applyFont="1" applyBorder="1" applyAlignment="1">
      <alignment horizontal="center" vertical="center"/>
      <protection/>
    </xf>
    <xf numFmtId="1" fontId="24" fillId="0" borderId="18" xfId="18" applyNumberFormat="1" applyFont="1" applyBorder="1" applyAlignment="1">
      <alignment horizontal="center" vertical="center"/>
      <protection/>
    </xf>
    <xf numFmtId="2" fontId="26" fillId="0" borderId="23" xfId="18" applyNumberFormat="1" applyFont="1" applyBorder="1" applyAlignment="1">
      <alignment horizontal="center" vertical="center"/>
      <protection/>
    </xf>
    <xf numFmtId="2" fontId="24" fillId="0" borderId="1" xfId="18" applyNumberFormat="1" applyFont="1" applyBorder="1" applyAlignment="1">
      <alignment horizontal="center" vertical="center"/>
      <protection/>
    </xf>
    <xf numFmtId="3" fontId="26" fillId="0" borderId="29" xfId="18" applyNumberFormat="1" applyFont="1" applyBorder="1" applyAlignment="1">
      <alignment horizontal="center" vertical="center"/>
      <protection/>
    </xf>
    <xf numFmtId="3" fontId="26" fillId="0" borderId="21" xfId="18" applyNumberFormat="1" applyFont="1" applyBorder="1" applyAlignment="1">
      <alignment horizontal="center" vertical="center"/>
      <protection/>
    </xf>
    <xf numFmtId="0" fontId="34" fillId="0" borderId="29" xfId="18" applyFont="1" applyBorder="1" applyAlignment="1">
      <alignment horizontal="center" vertical="center"/>
      <protection/>
    </xf>
    <xf numFmtId="0" fontId="25" fillId="0" borderId="9" xfId="18" applyFont="1" applyBorder="1" applyAlignment="1">
      <alignment vertical="center"/>
      <protection/>
    </xf>
    <xf numFmtId="0" fontId="25" fillId="0" borderId="77" xfId="18" applyFont="1" applyBorder="1" applyAlignment="1">
      <alignment vertical="center"/>
      <protection/>
    </xf>
    <xf numFmtId="0" fontId="27" fillId="0" borderId="8" xfId="18" applyFont="1" applyBorder="1" applyAlignment="1">
      <alignment horizontal="center" vertical="center"/>
      <protection/>
    </xf>
    <xf numFmtId="0" fontId="25" fillId="0" borderId="78" xfId="18" applyFont="1" applyBorder="1" applyAlignment="1">
      <alignment vertical="center"/>
      <protection/>
    </xf>
    <xf numFmtId="0" fontId="25" fillId="0" borderId="53" xfId="18" applyFont="1" applyBorder="1" applyAlignment="1">
      <alignment vertical="center"/>
      <protection/>
    </xf>
    <xf numFmtId="0" fontId="25" fillId="0" borderId="9" xfId="18" applyFont="1" applyBorder="1" applyAlignment="1">
      <alignment vertical="center" wrapText="1"/>
      <protection/>
    </xf>
    <xf numFmtId="0" fontId="25" fillId="0" borderId="72" xfId="18" applyFont="1" applyBorder="1" applyAlignment="1">
      <alignment vertical="center"/>
      <protection/>
    </xf>
    <xf numFmtId="0" fontId="27" fillId="0" borderId="8" xfId="18" applyFont="1" applyBorder="1" applyAlignment="1">
      <alignment vertical="center"/>
      <protection/>
    </xf>
    <xf numFmtId="0" fontId="13" fillId="0" borderId="1" xfId="18" applyFont="1" applyBorder="1" applyAlignment="1">
      <alignment horizontal="center" vertical="center" wrapText="1"/>
      <protection/>
    </xf>
    <xf numFmtId="0" fontId="27" fillId="0" borderId="1" xfId="18" applyFont="1" applyBorder="1" applyAlignment="1">
      <alignment horizontal="center" vertical="center" wrapText="1"/>
      <protection/>
    </xf>
    <xf numFmtId="0" fontId="10" fillId="0" borderId="8" xfId="18" applyFont="1" applyBorder="1" applyAlignment="1">
      <alignment horizontal="center" vertical="center"/>
      <protection/>
    </xf>
    <xf numFmtId="49" fontId="37" fillId="0" borderId="8" xfId="18" applyNumberFormat="1" applyFont="1" applyBorder="1" applyAlignment="1">
      <alignment vertical="center" wrapText="1"/>
      <protection/>
    </xf>
    <xf numFmtId="0" fontId="37" fillId="0" borderId="8" xfId="18" applyFont="1" applyBorder="1" applyAlignment="1">
      <alignment vertical="center"/>
      <protection/>
    </xf>
    <xf numFmtId="49" fontId="37" fillId="0" borderId="8" xfId="18" applyNumberFormat="1" applyFont="1" applyBorder="1" applyAlignment="1">
      <alignment vertical="center"/>
      <protection/>
    </xf>
    <xf numFmtId="49" fontId="37" fillId="0" borderId="8" xfId="18" applyNumberFormat="1" applyFont="1" applyBorder="1" applyAlignment="1">
      <alignment horizontal="left" vertical="center"/>
      <protection/>
    </xf>
    <xf numFmtId="0" fontId="20" fillId="0" borderId="23" xfId="0" applyFont="1" applyBorder="1" applyAlignment="1">
      <alignment horizontal="center" vertical="center"/>
    </xf>
    <xf numFmtId="49" fontId="20" fillId="0" borderId="23" xfId="0" applyNumberFormat="1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 wrapText="1"/>
    </xf>
    <xf numFmtId="3" fontId="19" fillId="0" borderId="23" xfId="0" applyNumberFormat="1" applyFont="1" applyBorder="1" applyAlignment="1">
      <alignment vertical="center"/>
    </xf>
    <xf numFmtId="3" fontId="19" fillId="0" borderId="24" xfId="0" applyNumberFormat="1" applyFont="1" applyBorder="1" applyAlignment="1">
      <alignment vertical="center"/>
    </xf>
    <xf numFmtId="3" fontId="20" fillId="6" borderId="56" xfId="0" applyNumberFormat="1" applyFont="1" applyFill="1" applyBorder="1" applyAlignment="1">
      <alignment vertical="center"/>
    </xf>
    <xf numFmtId="0" fontId="0" fillId="0" borderId="4" xfId="0" applyBorder="1" applyAlignment="1">
      <alignment vertical="center" wrapText="1"/>
    </xf>
    <xf numFmtId="49" fontId="22" fillId="0" borderId="23" xfId="0" applyNumberFormat="1" applyFont="1" applyBorder="1" applyAlignment="1">
      <alignment horizontal="center" vertical="center"/>
    </xf>
    <xf numFmtId="0" fontId="22" fillId="0" borderId="23" xfId="0" applyFont="1" applyBorder="1" applyAlignment="1">
      <alignment horizontal="left" vertical="center" wrapText="1"/>
    </xf>
    <xf numFmtId="0" fontId="15" fillId="0" borderId="79" xfId="18" applyFont="1" applyBorder="1" applyAlignment="1">
      <alignment horizontal="center" vertical="center" wrapText="1"/>
      <protection/>
    </xf>
    <xf numFmtId="3" fontId="15" fillId="0" borderId="39" xfId="18" applyNumberFormat="1" applyFont="1" applyBorder="1" applyAlignment="1">
      <alignment horizontal="center" vertical="center"/>
      <protection/>
    </xf>
    <xf numFmtId="0" fontId="13" fillId="0" borderId="47" xfId="18" applyFont="1" applyBorder="1" applyAlignment="1">
      <alignment horizontal="center" vertical="center"/>
      <protection/>
    </xf>
    <xf numFmtId="3" fontId="26" fillId="0" borderId="39" xfId="18" applyNumberFormat="1" applyFont="1" applyBorder="1" applyAlignment="1">
      <alignment horizontal="center" vertical="center"/>
      <protection/>
    </xf>
    <xf numFmtId="0" fontId="10" fillId="0" borderId="47" xfId="18" applyFont="1" applyBorder="1" applyAlignment="1">
      <alignment horizontal="center" vertical="center"/>
      <protection/>
    </xf>
    <xf numFmtId="3" fontId="26" fillId="0" borderId="76" xfId="18" applyNumberFormat="1" applyFont="1" applyBorder="1" applyAlignment="1">
      <alignment horizontal="center" vertical="center"/>
      <protection/>
    </xf>
    <xf numFmtId="0" fontId="13" fillId="0" borderId="47" xfId="18" applyFont="1" applyBorder="1" applyAlignment="1">
      <alignment horizontal="center" vertical="center"/>
      <protection/>
    </xf>
    <xf numFmtId="3" fontId="26" fillId="0" borderId="46" xfId="18" applyNumberFormat="1" applyFont="1" applyBorder="1" applyAlignment="1">
      <alignment horizontal="center" vertical="center"/>
      <protection/>
    </xf>
    <xf numFmtId="0" fontId="10" fillId="0" borderId="80" xfId="18" applyFont="1" applyBorder="1" applyAlignment="1">
      <alignment horizontal="center" vertical="center"/>
      <protection/>
    </xf>
    <xf numFmtId="0" fontId="10" fillId="0" borderId="16" xfId="18" applyFont="1" applyBorder="1" applyAlignment="1">
      <alignment horizontal="center" vertical="center"/>
      <protection/>
    </xf>
    <xf numFmtId="49" fontId="37" fillId="0" borderId="16" xfId="18" applyNumberFormat="1" applyFont="1" applyBorder="1" applyAlignment="1">
      <alignment vertical="center"/>
      <protection/>
    </xf>
    <xf numFmtId="3" fontId="26" fillId="0" borderId="81" xfId="18" applyNumberFormat="1" applyFont="1" applyBorder="1" applyAlignment="1">
      <alignment horizontal="center" vertical="center"/>
      <protection/>
    </xf>
    <xf numFmtId="0" fontId="37" fillId="0" borderId="16" xfId="18" applyFont="1" applyBorder="1" applyAlignment="1">
      <alignment vertical="center"/>
      <protection/>
    </xf>
    <xf numFmtId="0" fontId="37" fillId="0" borderId="22" xfId="18" applyFont="1" applyBorder="1" applyAlignment="1">
      <alignment horizontal="center" vertical="center" wrapText="1"/>
      <protection/>
    </xf>
    <xf numFmtId="0" fontId="27" fillId="0" borderId="16" xfId="18" applyFont="1" applyBorder="1" applyAlignment="1">
      <alignment horizontal="center" vertical="center"/>
      <protection/>
    </xf>
    <xf numFmtId="0" fontId="27" fillId="0" borderId="16" xfId="18" applyFont="1" applyBorder="1" applyAlignment="1">
      <alignment vertical="center"/>
      <protection/>
    </xf>
    <xf numFmtId="195" fontId="24" fillId="0" borderId="16" xfId="18" applyNumberFormat="1" applyFont="1" applyBorder="1" applyAlignment="1">
      <alignment horizontal="center" vertical="center"/>
      <protection/>
    </xf>
    <xf numFmtId="0" fontId="13" fillId="0" borderId="1" xfId="18" applyFont="1" applyBorder="1" applyAlignment="1">
      <alignment vertical="center"/>
      <protection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0" fillId="0" borderId="49" xfId="0" applyFont="1" applyBorder="1" applyAlignment="1">
      <alignment horizontal="left" vertical="center"/>
    </xf>
    <xf numFmtId="0" fontId="0" fillId="0" borderId="65" xfId="0" applyFont="1" applyBorder="1" applyAlignment="1">
      <alignment horizontal="left" vertical="center"/>
    </xf>
    <xf numFmtId="0" fontId="0" fillId="0" borderId="73" xfId="0" applyBorder="1" applyAlignment="1">
      <alignment vertical="center"/>
    </xf>
    <xf numFmtId="3" fontId="0" fillId="0" borderId="73" xfId="0" applyNumberFormat="1" applyBorder="1" applyAlignment="1">
      <alignment vertical="center"/>
    </xf>
    <xf numFmtId="3" fontId="10" fillId="0" borderId="0" xfId="0" applyNumberFormat="1" applyFont="1" applyAlignment="1">
      <alignment horizontal="center"/>
    </xf>
    <xf numFmtId="3" fontId="0" fillId="0" borderId="73" xfId="0" applyNumberForma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82" xfId="0" applyFont="1" applyBorder="1" applyAlignment="1">
      <alignment horizontal="left" vertical="center"/>
    </xf>
    <xf numFmtId="3" fontId="0" fillId="0" borderId="0" xfId="0" applyNumberForma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14" fillId="0" borderId="8" xfId="0" applyFont="1" applyBorder="1" applyAlignment="1">
      <alignment horizontal="center" vertical="center" wrapText="1"/>
    </xf>
    <xf numFmtId="3" fontId="24" fillId="0" borderId="29" xfId="0" applyNumberFormat="1" applyFont="1" applyBorder="1" applyAlignment="1">
      <alignment vertical="center" wrapText="1"/>
    </xf>
    <xf numFmtId="3" fontId="24" fillId="0" borderId="21" xfId="0" applyNumberFormat="1" applyFont="1" applyBorder="1" applyAlignment="1">
      <alignment vertical="center" wrapText="1"/>
    </xf>
    <xf numFmtId="49" fontId="24" fillId="0" borderId="28" xfId="0" applyNumberFormat="1" applyFont="1" applyBorder="1" applyAlignment="1">
      <alignment horizontal="center" vertical="center" wrapText="1"/>
    </xf>
    <xf numFmtId="49" fontId="24" fillId="0" borderId="29" xfId="0" applyNumberFormat="1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 wrapText="1"/>
    </xf>
    <xf numFmtId="49" fontId="25" fillId="0" borderId="4" xfId="0" applyNumberFormat="1" applyFont="1" applyBorder="1" applyAlignment="1">
      <alignment horizontal="center" vertical="center" wrapText="1"/>
    </xf>
    <xf numFmtId="0" fontId="25" fillId="0" borderId="4" xfId="0" applyFont="1" applyBorder="1" applyAlignment="1">
      <alignment horizontal="left" vertical="center" wrapText="1"/>
    </xf>
    <xf numFmtId="3" fontId="25" fillId="0" borderId="4" xfId="0" applyNumberFormat="1" applyFont="1" applyBorder="1" applyAlignment="1">
      <alignment vertical="center" wrapText="1"/>
    </xf>
    <xf numFmtId="0" fontId="14" fillId="0" borderId="7" xfId="0" applyFont="1" applyBorder="1" applyAlignment="1">
      <alignment horizontal="center" vertical="center" wrapText="1"/>
    </xf>
    <xf numFmtId="0" fontId="35" fillId="0" borderId="3" xfId="0" applyFont="1" applyBorder="1" applyAlignment="1">
      <alignment horizontal="left" vertical="center" wrapText="1"/>
    </xf>
    <xf numFmtId="0" fontId="35" fillId="0" borderId="4" xfId="0" applyFont="1" applyBorder="1" applyAlignment="1">
      <alignment horizontal="left" vertical="center" wrapText="1"/>
    </xf>
    <xf numFmtId="3" fontId="31" fillId="0" borderId="3" xfId="0" applyNumberFormat="1" applyFont="1" applyBorder="1" applyAlignment="1">
      <alignment vertical="center" wrapText="1"/>
    </xf>
    <xf numFmtId="3" fontId="31" fillId="0" borderId="4" xfId="0" applyNumberFormat="1" applyFont="1" applyBorder="1" applyAlignment="1">
      <alignment vertical="center" wrapText="1"/>
    </xf>
    <xf numFmtId="3" fontId="35" fillId="0" borderId="4" xfId="0" applyNumberFormat="1" applyFont="1" applyBorder="1" applyAlignment="1">
      <alignment vertical="center" wrapText="1"/>
    </xf>
    <xf numFmtId="3" fontId="35" fillId="0" borderId="5" xfId="0" applyNumberFormat="1" applyFont="1" applyBorder="1" applyAlignment="1">
      <alignment vertical="center" wrapText="1"/>
    </xf>
    <xf numFmtId="0" fontId="35" fillId="0" borderId="6" xfId="0" applyFont="1" applyBorder="1" applyAlignment="1">
      <alignment horizontal="left" vertical="center" wrapText="1"/>
    </xf>
    <xf numFmtId="3" fontId="31" fillId="0" borderId="6" xfId="0" applyNumberFormat="1" applyFont="1" applyBorder="1" applyAlignment="1">
      <alignment vertical="center" wrapText="1"/>
    </xf>
    <xf numFmtId="0" fontId="14" fillId="0" borderId="15" xfId="0" applyFont="1" applyBorder="1" applyAlignment="1">
      <alignment horizontal="center" vertical="center" wrapText="1"/>
    </xf>
    <xf numFmtId="3" fontId="24" fillId="0" borderId="42" xfId="0" applyNumberFormat="1" applyFont="1" applyBorder="1" applyAlignment="1">
      <alignment vertical="center" wrapText="1"/>
    </xf>
    <xf numFmtId="3" fontId="25" fillId="0" borderId="50" xfId="0" applyNumberFormat="1" applyFont="1" applyBorder="1" applyAlignment="1">
      <alignment vertical="center" wrapText="1"/>
    </xf>
    <xf numFmtId="3" fontId="25" fillId="0" borderId="49" xfId="0" applyNumberFormat="1" applyFont="1" applyBorder="1" applyAlignment="1">
      <alignment vertical="center" wrapText="1"/>
    </xf>
    <xf numFmtId="3" fontId="25" fillId="0" borderId="52" xfId="0" applyNumberFormat="1" applyFont="1" applyBorder="1" applyAlignment="1">
      <alignment vertical="center" wrapText="1"/>
    </xf>
    <xf numFmtId="3" fontId="25" fillId="0" borderId="15" xfId="0" applyNumberFormat="1" applyFont="1" applyBorder="1" applyAlignment="1">
      <alignment vertical="center" wrapText="1"/>
    </xf>
    <xf numFmtId="3" fontId="25" fillId="0" borderId="51" xfId="0" applyNumberFormat="1" applyFont="1" applyBorder="1" applyAlignment="1">
      <alignment vertical="center" wrapText="1"/>
    </xf>
    <xf numFmtId="0" fontId="14" fillId="0" borderId="11" xfId="0" applyFont="1" applyBorder="1" applyAlignment="1">
      <alignment horizontal="center" vertical="center" wrapText="1"/>
    </xf>
    <xf numFmtId="10" fontId="27" fillId="0" borderId="27" xfId="0" applyNumberFormat="1" applyFont="1" applyBorder="1" applyAlignment="1">
      <alignment vertical="center" wrapText="1"/>
    </xf>
    <xf numFmtId="10" fontId="27" fillId="0" borderId="65" xfId="0" applyNumberFormat="1" applyFont="1" applyBorder="1" applyAlignment="1">
      <alignment vertical="center" wrapText="1"/>
    </xf>
    <xf numFmtId="0" fontId="14" fillId="0" borderId="62" xfId="0" applyFont="1" applyBorder="1" applyAlignment="1">
      <alignment horizontal="center" vertical="center" wrapText="1"/>
    </xf>
    <xf numFmtId="3" fontId="24" fillId="0" borderId="57" xfId="0" applyNumberFormat="1" applyFont="1" applyBorder="1" applyAlignment="1">
      <alignment vertical="center" wrapText="1"/>
    </xf>
    <xf numFmtId="3" fontId="25" fillId="0" borderId="60" xfId="0" applyNumberFormat="1" applyFont="1" applyBorder="1" applyAlignment="1">
      <alignment vertical="center" wrapText="1"/>
    </xf>
    <xf numFmtId="3" fontId="25" fillId="0" borderId="59" xfId="0" applyNumberFormat="1" applyFont="1" applyBorder="1" applyAlignment="1">
      <alignment vertical="center" wrapText="1"/>
    </xf>
    <xf numFmtId="3" fontId="25" fillId="0" borderId="63" xfId="0" applyNumberFormat="1" applyFont="1" applyBorder="1" applyAlignment="1">
      <alignment vertical="center" wrapText="1"/>
    </xf>
    <xf numFmtId="3" fontId="25" fillId="0" borderId="62" xfId="0" applyNumberFormat="1" applyFont="1" applyBorder="1" applyAlignment="1">
      <alignment vertical="center" wrapText="1"/>
    </xf>
    <xf numFmtId="3" fontId="25" fillId="0" borderId="83" xfId="0" applyNumberFormat="1" applyFont="1" applyBorder="1" applyAlignment="1">
      <alignment vertical="center" wrapText="1"/>
    </xf>
    <xf numFmtId="3" fontId="31" fillId="0" borderId="49" xfId="0" applyNumberFormat="1" applyFont="1" applyBorder="1" applyAlignment="1">
      <alignment vertical="center" wrapText="1"/>
    </xf>
    <xf numFmtId="3" fontId="31" fillId="0" borderId="51" xfId="0" applyNumberFormat="1" applyFont="1" applyBorder="1" applyAlignment="1">
      <alignment vertical="center" wrapText="1"/>
    </xf>
    <xf numFmtId="3" fontId="35" fillId="0" borderId="59" xfId="0" applyNumberFormat="1" applyFont="1" applyBorder="1" applyAlignment="1">
      <alignment vertical="center" wrapText="1"/>
    </xf>
    <xf numFmtId="3" fontId="35" fillId="0" borderId="83" xfId="0" applyNumberFormat="1" applyFont="1" applyBorder="1" applyAlignment="1">
      <alignment vertical="center" wrapText="1"/>
    </xf>
    <xf numFmtId="3" fontId="35" fillId="0" borderId="8" xfId="0" applyNumberFormat="1" applyFont="1" applyBorder="1" applyAlignment="1">
      <alignment vertical="center" wrapText="1"/>
    </xf>
    <xf numFmtId="0" fontId="35" fillId="0" borderId="5" xfId="0" applyFont="1" applyBorder="1" applyAlignment="1">
      <alignment horizontal="left" vertical="center" wrapText="1"/>
    </xf>
    <xf numFmtId="3" fontId="31" fillId="0" borderId="5" xfId="0" applyNumberFormat="1" applyFont="1" applyBorder="1" applyAlignment="1">
      <alignment vertical="center" wrapText="1"/>
    </xf>
    <xf numFmtId="3" fontId="31" fillId="0" borderId="50" xfId="0" applyNumberFormat="1" applyFont="1" applyBorder="1" applyAlignment="1">
      <alignment vertical="center" wrapText="1"/>
    </xf>
    <xf numFmtId="3" fontId="35" fillId="0" borderId="60" xfId="0" applyNumberFormat="1" applyFont="1" applyBorder="1" applyAlignment="1">
      <alignment vertical="center" wrapText="1"/>
    </xf>
    <xf numFmtId="49" fontId="25" fillId="0" borderId="13" xfId="0" applyNumberFormat="1" applyFont="1" applyBorder="1" applyAlignment="1">
      <alignment horizontal="center" vertical="center" wrapText="1"/>
    </xf>
    <xf numFmtId="0" fontId="25" fillId="0" borderId="13" xfId="0" applyFont="1" applyBorder="1" applyAlignment="1">
      <alignment horizontal="left" vertical="center" wrapText="1"/>
    </xf>
    <xf numFmtId="3" fontId="25" fillId="0" borderId="13" xfId="0" applyNumberFormat="1" applyFont="1" applyBorder="1" applyAlignment="1">
      <alignment vertical="center" wrapText="1"/>
    </xf>
    <xf numFmtId="3" fontId="25" fillId="0" borderId="14" xfId="0" applyNumberFormat="1" applyFont="1" applyBorder="1" applyAlignment="1">
      <alignment vertical="center" wrapText="1"/>
    </xf>
    <xf numFmtId="3" fontId="25" fillId="0" borderId="66" xfId="0" applyNumberFormat="1" applyFont="1" applyBorder="1" applyAlignment="1">
      <alignment vertical="center" wrapText="1"/>
    </xf>
    <xf numFmtId="10" fontId="27" fillId="0" borderId="78" xfId="0" applyNumberFormat="1" applyFont="1" applyBorder="1" applyAlignment="1">
      <alignment vertical="center" wrapText="1"/>
    </xf>
    <xf numFmtId="49" fontId="25" fillId="0" borderId="1" xfId="0" applyNumberFormat="1" applyFont="1" applyBorder="1" applyAlignment="1">
      <alignment horizontal="center" vertical="center" wrapText="1"/>
    </xf>
    <xf numFmtId="0" fontId="25" fillId="0" borderId="1" xfId="0" applyFont="1" applyBorder="1" applyAlignment="1">
      <alignment horizontal="left" vertical="center" wrapText="1"/>
    </xf>
    <xf numFmtId="3" fontId="25" fillId="0" borderId="1" xfId="0" applyNumberFormat="1" applyFont="1" applyBorder="1" applyAlignment="1">
      <alignment vertical="center" wrapText="1"/>
    </xf>
    <xf numFmtId="3" fontId="25" fillId="0" borderId="10" xfId="0" applyNumberFormat="1" applyFont="1" applyBorder="1" applyAlignment="1">
      <alignment vertical="center" wrapText="1"/>
    </xf>
    <xf numFmtId="3" fontId="31" fillId="0" borderId="52" xfId="0" applyNumberFormat="1" applyFont="1" applyBorder="1" applyAlignment="1">
      <alignment vertical="center" wrapText="1"/>
    </xf>
    <xf numFmtId="3" fontId="25" fillId="0" borderId="58" xfId="0" applyNumberFormat="1" applyFont="1" applyBorder="1" applyAlignment="1">
      <alignment vertical="center" wrapText="1"/>
    </xf>
    <xf numFmtId="3" fontId="35" fillId="0" borderId="63" xfId="0" applyNumberFormat="1" applyFont="1" applyBorder="1" applyAlignment="1">
      <alignment vertical="center" wrapText="1"/>
    </xf>
    <xf numFmtId="3" fontId="25" fillId="0" borderId="24" xfId="0" applyNumberFormat="1" applyFont="1" applyBorder="1" applyAlignment="1">
      <alignment vertical="center" wrapText="1"/>
    </xf>
    <xf numFmtId="3" fontId="26" fillId="0" borderId="12" xfId="0" applyNumberFormat="1" applyFont="1" applyBorder="1" applyAlignment="1">
      <alignment horizontal="right" vertical="center" wrapText="1"/>
    </xf>
    <xf numFmtId="3" fontId="26" fillId="0" borderId="67" xfId="0" applyNumberFormat="1" applyFont="1" applyBorder="1" applyAlignment="1">
      <alignment horizontal="right" vertical="center" wrapText="1"/>
    </xf>
    <xf numFmtId="3" fontId="25" fillId="0" borderId="56" xfId="0" applyNumberFormat="1" applyFont="1" applyBorder="1" applyAlignment="1">
      <alignment vertical="center" wrapText="1"/>
    </xf>
    <xf numFmtId="0" fontId="34" fillId="4" borderId="26" xfId="0" applyFont="1" applyFill="1" applyBorder="1" applyAlignment="1">
      <alignment horizontal="center" vertical="center" wrapText="1"/>
    </xf>
    <xf numFmtId="0" fontId="34" fillId="4" borderId="33" xfId="0" applyFont="1" applyFill="1" applyBorder="1" applyAlignment="1">
      <alignment horizontal="center" vertical="center" wrapText="1"/>
    </xf>
    <xf numFmtId="0" fontId="34" fillId="4" borderId="8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35" fillId="0" borderId="22" xfId="0" applyFont="1" applyFill="1" applyBorder="1" applyAlignment="1">
      <alignment horizontal="left" vertical="center" wrapText="1"/>
    </xf>
    <xf numFmtId="0" fontId="35" fillId="0" borderId="1" xfId="0" applyFont="1" applyFill="1" applyBorder="1" applyAlignment="1">
      <alignment horizontal="left" vertical="center" wrapText="1"/>
    </xf>
    <xf numFmtId="0" fontId="34" fillId="4" borderId="84" xfId="0" applyFont="1" applyFill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center" vertical="center" wrapText="1"/>
    </xf>
    <xf numFmtId="0" fontId="10" fillId="0" borderId="40" xfId="0" applyFont="1" applyFill="1" applyBorder="1" applyAlignment="1">
      <alignment horizontal="center" vertical="center" wrapText="1"/>
    </xf>
    <xf numFmtId="0" fontId="34" fillId="0" borderId="85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3" fillId="2" borderId="66" xfId="0" applyFont="1" applyFill="1" applyBorder="1" applyAlignment="1">
      <alignment horizontal="center" vertical="center" wrapText="1"/>
    </xf>
    <xf numFmtId="0" fontId="13" fillId="2" borderId="58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textRotation="90" wrapText="1"/>
    </xf>
    <xf numFmtId="0" fontId="2" fillId="2" borderId="16" xfId="0" applyFont="1" applyFill="1" applyBorder="1" applyAlignment="1">
      <alignment horizontal="center" textRotation="90" wrapText="1"/>
    </xf>
    <xf numFmtId="0" fontId="21" fillId="2" borderId="42" xfId="0" applyFont="1" applyFill="1" applyBorder="1" applyAlignment="1">
      <alignment horizontal="left" wrapText="1"/>
    </xf>
    <xf numFmtId="0" fontId="21" fillId="2" borderId="27" xfId="0" applyFont="1" applyFill="1" applyBorder="1" applyAlignment="1">
      <alignment horizontal="left" wrapText="1"/>
    </xf>
    <xf numFmtId="0" fontId="4" fillId="2" borderId="86" xfId="0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 wrapText="1"/>
    </xf>
    <xf numFmtId="0" fontId="5" fillId="5" borderId="20" xfId="0" applyFont="1" applyFill="1" applyBorder="1" applyAlignment="1">
      <alignment horizontal="right" vertical="center"/>
    </xf>
    <xf numFmtId="0" fontId="5" fillId="5" borderId="43" xfId="0" applyFont="1" applyFill="1" applyBorder="1" applyAlignment="1">
      <alignment horizontal="right" vertical="center"/>
    </xf>
    <xf numFmtId="0" fontId="5" fillId="5" borderId="27" xfId="0" applyFont="1" applyFill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4" fillId="2" borderId="84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5" fillId="2" borderId="87" xfId="0" applyFont="1" applyFill="1" applyBorder="1" applyAlignment="1">
      <alignment horizontal="center" vertical="center" wrapText="1"/>
    </xf>
    <xf numFmtId="0" fontId="5" fillId="2" borderId="88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23" fillId="2" borderId="10" xfId="0" applyFont="1" applyFill="1" applyBorder="1" applyAlignment="1">
      <alignment horizontal="center" vertical="center" wrapText="1"/>
    </xf>
    <xf numFmtId="0" fontId="23" fillId="2" borderId="72" xfId="0" applyFont="1" applyFill="1" applyBorder="1" applyAlignment="1">
      <alignment horizontal="center" vertical="center" wrapText="1"/>
    </xf>
    <xf numFmtId="0" fontId="23" fillId="2" borderId="11" xfId="0" applyFont="1" applyFill="1" applyBorder="1" applyAlignment="1">
      <alignment horizontal="center" vertical="center" wrapText="1"/>
    </xf>
    <xf numFmtId="0" fontId="23" fillId="2" borderId="53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10" fillId="0" borderId="46" xfId="0" applyFont="1" applyFill="1" applyBorder="1" applyAlignment="1">
      <alignment horizontal="center" vertical="center" wrapText="1"/>
    </xf>
    <xf numFmtId="3" fontId="10" fillId="0" borderId="46" xfId="0" applyNumberFormat="1" applyFont="1" applyFill="1" applyBorder="1" applyAlignment="1">
      <alignment horizontal="center" vertical="center" wrapText="1"/>
    </xf>
    <xf numFmtId="3" fontId="10" fillId="0" borderId="36" xfId="0" applyNumberFormat="1" applyFont="1" applyFill="1" applyBorder="1" applyAlignment="1">
      <alignment horizontal="center" vertical="center" wrapText="1"/>
    </xf>
    <xf numFmtId="3" fontId="10" fillId="0" borderId="39" xfId="0" applyNumberFormat="1" applyFont="1" applyFill="1" applyBorder="1" applyAlignment="1">
      <alignment horizontal="center" vertical="center" wrapText="1"/>
    </xf>
    <xf numFmtId="3" fontId="10" fillId="0" borderId="40" xfId="0" applyNumberFormat="1" applyFont="1" applyFill="1" applyBorder="1" applyAlignment="1">
      <alignment horizontal="center" vertical="center" wrapText="1"/>
    </xf>
    <xf numFmtId="0" fontId="4" fillId="4" borderId="75" xfId="0" applyFont="1" applyFill="1" applyBorder="1" applyAlignment="1">
      <alignment horizontal="center" vertical="center" wrapText="1"/>
    </xf>
    <xf numFmtId="0" fontId="4" fillId="4" borderId="76" xfId="0" applyFont="1" applyFill="1" applyBorder="1" applyAlignment="1">
      <alignment horizontal="center" vertical="center" wrapText="1"/>
    </xf>
    <xf numFmtId="0" fontId="4" fillId="4" borderId="46" xfId="0" applyFont="1" applyFill="1" applyBorder="1" applyAlignment="1">
      <alignment horizontal="center" vertical="center" wrapText="1"/>
    </xf>
    <xf numFmtId="0" fontId="10" fillId="0" borderId="39" xfId="0" applyFont="1" applyFill="1" applyBorder="1" applyAlignment="1">
      <alignment horizontal="center" vertical="center" wrapText="1"/>
    </xf>
    <xf numFmtId="0" fontId="34" fillId="0" borderId="89" xfId="0" applyFont="1" applyFill="1" applyBorder="1" applyAlignment="1">
      <alignment horizontal="center" vertical="center" wrapText="1"/>
    </xf>
    <xf numFmtId="0" fontId="34" fillId="0" borderId="32" xfId="0" applyFont="1" applyFill="1" applyBorder="1" applyAlignment="1">
      <alignment horizontal="center" vertical="center" wrapText="1"/>
    </xf>
    <xf numFmtId="0" fontId="34" fillId="0" borderId="78" xfId="0" applyFont="1" applyFill="1" applyBorder="1" applyAlignment="1">
      <alignment horizontal="center" vertical="center" wrapText="1"/>
    </xf>
    <xf numFmtId="0" fontId="34" fillId="0" borderId="84" xfId="0" applyFont="1" applyFill="1" applyBorder="1" applyAlignment="1">
      <alignment horizontal="center" vertical="center" wrapText="1"/>
    </xf>
    <xf numFmtId="0" fontId="34" fillId="0" borderId="33" xfId="0" applyFont="1" applyFill="1" applyBorder="1" applyAlignment="1">
      <alignment horizontal="center" vertical="center" wrapText="1"/>
    </xf>
    <xf numFmtId="0" fontId="35" fillId="0" borderId="90" xfId="0" applyFont="1" applyFill="1" applyBorder="1" applyAlignment="1">
      <alignment horizontal="left" vertical="center" wrapText="1"/>
    </xf>
    <xf numFmtId="0" fontId="35" fillId="0" borderId="12" xfId="0" applyFont="1" applyFill="1" applyBorder="1" applyAlignment="1">
      <alignment horizontal="left" vertical="center" wrapText="1"/>
    </xf>
    <xf numFmtId="0" fontId="35" fillId="0" borderId="9" xfId="0" applyFont="1" applyFill="1" applyBorder="1" applyAlignment="1">
      <alignment horizontal="left" vertical="center" wrapText="1"/>
    </xf>
    <xf numFmtId="3" fontId="4" fillId="4" borderId="33" xfId="0" applyNumberFormat="1" applyFont="1" applyFill="1" applyBorder="1" applyAlignment="1">
      <alignment horizontal="center" vertical="center" wrapText="1"/>
    </xf>
    <xf numFmtId="3" fontId="4" fillId="4" borderId="8" xfId="0" applyNumberFormat="1" applyFont="1" applyFill="1" applyBorder="1" applyAlignment="1">
      <alignment horizontal="center" vertical="center" wrapText="1"/>
    </xf>
    <xf numFmtId="0" fontId="34" fillId="4" borderId="1" xfId="0" applyFont="1" applyFill="1" applyBorder="1" applyAlignment="1">
      <alignment horizontal="center" vertical="center" wrapText="1"/>
    </xf>
    <xf numFmtId="0" fontId="34" fillId="4" borderId="7" xfId="0" applyFont="1" applyFill="1" applyBorder="1" applyAlignment="1">
      <alignment horizontal="center" vertical="center" wrapText="1"/>
    </xf>
    <xf numFmtId="0" fontId="34" fillId="4" borderId="14" xfId="0" applyFont="1" applyFill="1" applyBorder="1" applyAlignment="1">
      <alignment horizontal="center" vertical="center" wrapText="1"/>
    </xf>
    <xf numFmtId="0" fontId="34" fillId="4" borderId="32" xfId="0" applyFont="1" applyFill="1" applyBorder="1" applyAlignment="1">
      <alignment horizontal="center" vertical="center" wrapText="1"/>
    </xf>
    <xf numFmtId="0" fontId="34" fillId="4" borderId="78" xfId="0" applyFont="1" applyFill="1" applyBorder="1" applyAlignment="1">
      <alignment horizontal="center" vertical="center" wrapText="1"/>
    </xf>
    <xf numFmtId="0" fontId="4" fillId="4" borderId="23" xfId="0" applyFont="1" applyFill="1" applyBorder="1" applyAlignment="1">
      <alignment horizontal="center" vertical="center" wrapText="1"/>
    </xf>
    <xf numFmtId="0" fontId="34" fillId="0" borderId="43" xfId="0" applyFont="1" applyFill="1" applyBorder="1" applyAlignment="1">
      <alignment horizontal="center" vertical="center" wrapText="1"/>
    </xf>
    <xf numFmtId="0" fontId="34" fillId="0" borderId="27" xfId="0" applyFont="1" applyFill="1" applyBorder="1" applyAlignment="1">
      <alignment horizontal="center" vertical="center" wrapText="1"/>
    </xf>
    <xf numFmtId="0" fontId="35" fillId="0" borderId="79" xfId="0" applyFont="1" applyFill="1" applyBorder="1" applyAlignment="1">
      <alignment horizontal="left" vertical="center" wrapText="1"/>
    </xf>
    <xf numFmtId="0" fontId="35" fillId="0" borderId="23" xfId="0" applyFont="1" applyFill="1" applyBorder="1" applyAlignment="1">
      <alignment horizontal="left" vertical="center" wrapText="1"/>
    </xf>
    <xf numFmtId="0" fontId="34" fillId="0" borderId="41" xfId="0" applyFont="1" applyFill="1" applyBorder="1" applyAlignment="1">
      <alignment horizontal="center" vertical="center" wrapText="1"/>
    </xf>
    <xf numFmtId="0" fontId="34" fillId="0" borderId="73" xfId="0" applyFont="1" applyFill="1" applyBorder="1" applyAlignment="1">
      <alignment horizontal="center" vertical="center" wrapText="1"/>
    </xf>
    <xf numFmtId="0" fontId="34" fillId="0" borderId="5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36" xfId="0" applyBorder="1" applyAlignment="1">
      <alignment/>
    </xf>
    <xf numFmtId="0" fontId="0" fillId="0" borderId="40" xfId="0" applyBorder="1" applyAlignment="1">
      <alignment/>
    </xf>
    <xf numFmtId="0" fontId="4" fillId="4" borderId="16" xfId="0" applyFont="1" applyFill="1" applyBorder="1" applyAlignment="1">
      <alignment horizontal="center" vertical="center" wrapText="1"/>
    </xf>
    <xf numFmtId="0" fontId="4" fillId="4" borderId="81" xfId="0" applyFont="1" applyFill="1" applyBorder="1" applyAlignment="1">
      <alignment horizontal="center" vertical="center" wrapText="1"/>
    </xf>
    <xf numFmtId="0" fontId="34" fillId="4" borderId="37" xfId="0" applyFont="1" applyFill="1" applyBorder="1" applyAlignment="1">
      <alignment horizontal="center" vertical="center" wrapText="1"/>
    </xf>
    <xf numFmtId="0" fontId="34" fillId="4" borderId="16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24" fillId="0" borderId="23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10" fillId="0" borderId="7" xfId="0" applyNumberFormat="1" applyFont="1" applyFill="1" applyBorder="1" applyAlignment="1">
      <alignment horizontal="center" vertical="center" wrapText="1"/>
    </xf>
    <xf numFmtId="0" fontId="10" fillId="0" borderId="8" xfId="0" applyNumberFormat="1" applyFont="1" applyFill="1" applyBorder="1" applyAlignment="1">
      <alignment horizontal="center" vertical="center" wrapText="1"/>
    </xf>
    <xf numFmtId="0" fontId="10" fillId="0" borderId="23" xfId="0" applyNumberFormat="1" applyFont="1" applyFill="1" applyBorder="1" applyAlignment="1">
      <alignment horizontal="center" vertical="center" wrapText="1"/>
    </xf>
    <xf numFmtId="3" fontId="4" fillId="4" borderId="34" xfId="0" applyNumberFormat="1" applyFont="1" applyFill="1" applyBorder="1" applyAlignment="1">
      <alignment horizontal="center" vertical="center" wrapText="1"/>
    </xf>
    <xf numFmtId="3" fontId="4" fillId="4" borderId="86" xfId="0" applyNumberFormat="1" applyFont="1" applyFill="1" applyBorder="1" applyAlignment="1">
      <alignment horizontal="center" vertical="center" wrapText="1"/>
    </xf>
    <xf numFmtId="3" fontId="4" fillId="4" borderId="15" xfId="0" applyNumberFormat="1" applyFont="1" applyFill="1" applyBorder="1" applyAlignment="1">
      <alignment horizontal="center" vertical="center" wrapText="1"/>
    </xf>
    <xf numFmtId="3" fontId="4" fillId="4" borderId="11" xfId="0" applyNumberFormat="1" applyFont="1" applyFill="1" applyBorder="1" applyAlignment="1">
      <alignment horizontal="center" vertical="center" wrapText="1"/>
    </xf>
    <xf numFmtId="3" fontId="4" fillId="4" borderId="17" xfId="0" applyNumberFormat="1" applyFont="1" applyFill="1" applyBorder="1" applyAlignment="1">
      <alignment horizontal="center" vertical="center" wrapText="1"/>
    </xf>
    <xf numFmtId="3" fontId="4" fillId="4" borderId="38" xfId="0" applyNumberFormat="1" applyFont="1" applyFill="1" applyBorder="1" applyAlignment="1">
      <alignment horizontal="center" vertical="center" wrapText="1"/>
    </xf>
    <xf numFmtId="3" fontId="10" fillId="0" borderId="7" xfId="0" applyNumberFormat="1" applyFont="1" applyFill="1" applyBorder="1" applyAlignment="1">
      <alignment horizontal="center" vertical="center" wrapText="1"/>
    </xf>
    <xf numFmtId="3" fontId="10" fillId="0" borderId="8" xfId="0" applyNumberFormat="1" applyFont="1" applyFill="1" applyBorder="1" applyAlignment="1">
      <alignment horizontal="center" vertical="center" wrapText="1"/>
    </xf>
    <xf numFmtId="3" fontId="10" fillId="0" borderId="23" xfId="0" applyNumberFormat="1" applyFont="1" applyFill="1" applyBorder="1" applyAlignment="1">
      <alignment horizontal="center" vertical="center" wrapText="1"/>
    </xf>
    <xf numFmtId="0" fontId="4" fillId="4" borderId="35" xfId="0" applyFont="1" applyFill="1" applyBorder="1" applyAlignment="1">
      <alignment horizontal="center" vertical="center" wrapText="1"/>
    </xf>
    <xf numFmtId="0" fontId="4" fillId="4" borderId="36" xfId="0" applyFont="1" applyFill="1" applyBorder="1" applyAlignment="1">
      <alignment horizontal="center" vertical="center" wrapText="1"/>
    </xf>
    <xf numFmtId="0" fontId="4" fillId="4" borderId="40" xfId="0" applyFont="1" applyFill="1" applyBorder="1" applyAlignment="1">
      <alignment horizontal="center" vertical="center" wrapText="1"/>
    </xf>
    <xf numFmtId="3" fontId="8" fillId="0" borderId="23" xfId="0" applyNumberFormat="1" applyFont="1" applyFill="1" applyBorder="1" applyAlignment="1">
      <alignment horizontal="center" vertical="center" wrapText="1"/>
    </xf>
    <xf numFmtId="0" fontId="34" fillId="0" borderId="7" xfId="0" applyFont="1" applyFill="1" applyBorder="1" applyAlignment="1">
      <alignment horizontal="center" vertical="center" wrapText="1"/>
    </xf>
    <xf numFmtId="0" fontId="34" fillId="0" borderId="8" xfId="0" applyFont="1" applyFill="1" applyBorder="1" applyAlignment="1">
      <alignment horizontal="center" vertical="center" wrapText="1"/>
    </xf>
    <xf numFmtId="0" fontId="34" fillId="0" borderId="23" xfId="0" applyFont="1" applyFill="1" applyBorder="1" applyAlignment="1">
      <alignment horizontal="center" vertical="center" wrapText="1"/>
    </xf>
    <xf numFmtId="3" fontId="10" fillId="0" borderId="68" xfId="0" applyNumberFormat="1" applyFont="1" applyFill="1" applyBorder="1" applyAlignment="1">
      <alignment horizontal="center" vertical="center" wrapText="1"/>
    </xf>
    <xf numFmtId="3" fontId="10" fillId="0" borderId="15" xfId="0" applyNumberFormat="1" applyFont="1" applyFill="1" applyBorder="1" applyAlignment="1">
      <alignment horizontal="center" vertical="center" wrapText="1"/>
    </xf>
    <xf numFmtId="1" fontId="10" fillId="0" borderId="7" xfId="0" applyNumberFormat="1" applyFont="1" applyFill="1" applyBorder="1" applyAlignment="1">
      <alignment horizontal="center" vertical="center" wrapText="1"/>
    </xf>
    <xf numFmtId="1" fontId="10" fillId="0" borderId="8" xfId="0" applyNumberFormat="1" applyFont="1" applyFill="1" applyBorder="1" applyAlignment="1">
      <alignment horizontal="center" vertical="center" wrapText="1"/>
    </xf>
    <xf numFmtId="1" fontId="10" fillId="0" borderId="23" xfId="0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6" fillId="0" borderId="23" xfId="0" applyFont="1" applyFill="1" applyBorder="1" applyAlignment="1">
      <alignment horizontal="center" vertical="center" wrapText="1"/>
    </xf>
    <xf numFmtId="0" fontId="34" fillId="4" borderId="34" xfId="0" applyFont="1" applyFill="1" applyBorder="1" applyAlignment="1">
      <alignment horizontal="center" vertical="center" wrapText="1"/>
    </xf>
    <xf numFmtId="0" fontId="34" fillId="4" borderId="74" xfId="0" applyFont="1" applyFill="1" applyBorder="1" applyAlignment="1">
      <alignment horizontal="center" vertical="center" wrapText="1"/>
    </xf>
    <xf numFmtId="0" fontId="34" fillId="4" borderId="91" xfId="0" applyFont="1" applyFill="1" applyBorder="1" applyAlignment="1">
      <alignment horizontal="center" vertical="center" wrapText="1"/>
    </xf>
    <xf numFmtId="0" fontId="34" fillId="4" borderId="24" xfId="0" applyFont="1" applyFill="1" applyBorder="1" applyAlignment="1">
      <alignment horizontal="center" vertical="center" wrapText="1"/>
    </xf>
    <xf numFmtId="0" fontId="34" fillId="4" borderId="73" xfId="0" applyFont="1" applyFill="1" applyBorder="1" applyAlignment="1">
      <alignment horizontal="center" vertical="center" wrapText="1"/>
    </xf>
    <xf numFmtId="0" fontId="34" fillId="4" borderId="92" xfId="0" applyFont="1" applyFill="1" applyBorder="1" applyAlignment="1">
      <alignment horizontal="center" vertical="center" wrapText="1"/>
    </xf>
    <xf numFmtId="3" fontId="4" fillId="4" borderId="68" xfId="0" applyNumberFormat="1" applyFont="1" applyFill="1" applyBorder="1" applyAlignment="1">
      <alignment horizontal="center" vertical="center" wrapText="1"/>
    </xf>
    <xf numFmtId="3" fontId="4" fillId="4" borderId="72" xfId="0" applyNumberFormat="1" applyFont="1" applyFill="1" applyBorder="1" applyAlignment="1">
      <alignment horizontal="center" vertical="center" wrapText="1"/>
    </xf>
    <xf numFmtId="3" fontId="4" fillId="4" borderId="24" xfId="0" applyNumberFormat="1" applyFont="1" applyFill="1" applyBorder="1" applyAlignment="1">
      <alignment horizontal="center" vertical="center" wrapText="1"/>
    </xf>
    <xf numFmtId="3" fontId="4" fillId="4" borderId="53" xfId="0" applyNumberFormat="1" applyFont="1" applyFill="1" applyBorder="1" applyAlignment="1">
      <alignment horizontal="center" vertical="center" wrapText="1"/>
    </xf>
    <xf numFmtId="0" fontId="34" fillId="4" borderId="68" xfId="0" applyFont="1" applyFill="1" applyBorder="1" applyAlignment="1">
      <alignment horizontal="center" vertical="center" wrapText="1"/>
    </xf>
    <xf numFmtId="0" fontId="34" fillId="4" borderId="93" xfId="0" applyFont="1" applyFill="1" applyBorder="1" applyAlignment="1">
      <alignment horizontal="center" vertical="center" wrapText="1"/>
    </xf>
    <xf numFmtId="0" fontId="34" fillId="4" borderId="72" xfId="0" applyFont="1" applyFill="1" applyBorder="1" applyAlignment="1">
      <alignment horizontal="center" vertical="center" wrapText="1"/>
    </xf>
    <xf numFmtId="0" fontId="34" fillId="4" borderId="53" xfId="0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0" fontId="34" fillId="4" borderId="23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4" fillId="4" borderId="39" xfId="0" applyFont="1" applyFill="1" applyBorder="1" applyAlignment="1">
      <alignment horizontal="center" vertical="center" wrapText="1"/>
    </xf>
    <xf numFmtId="0" fontId="34" fillId="4" borderId="45" xfId="0" applyFont="1" applyFill="1" applyBorder="1" applyAlignment="1">
      <alignment horizontal="center" vertical="center" wrapText="1"/>
    </xf>
    <xf numFmtId="0" fontId="34" fillId="4" borderId="79" xfId="0" applyFont="1" applyFill="1" applyBorder="1" applyAlignment="1">
      <alignment horizontal="center" vertical="center" wrapText="1"/>
    </xf>
    <xf numFmtId="0" fontId="10" fillId="0" borderId="68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68" xfId="0" applyNumberFormat="1" applyFont="1" applyFill="1" applyBorder="1" applyAlignment="1">
      <alignment horizontal="center" vertical="center" wrapText="1"/>
    </xf>
    <xf numFmtId="0" fontId="10" fillId="0" borderId="15" xfId="0" applyNumberFormat="1" applyFont="1" applyFill="1" applyBorder="1" applyAlignment="1">
      <alignment horizontal="center" vertical="center" wrapText="1"/>
    </xf>
    <xf numFmtId="0" fontId="10" fillId="0" borderId="24" xfId="0" applyNumberFormat="1" applyFont="1" applyFill="1" applyBorder="1" applyAlignment="1">
      <alignment horizontal="center" vertical="center" wrapText="1"/>
    </xf>
    <xf numFmtId="0" fontId="26" fillId="0" borderId="84" xfId="0" applyFont="1" applyFill="1" applyBorder="1" applyAlignment="1">
      <alignment horizontal="center" vertical="center" wrapText="1"/>
    </xf>
    <xf numFmtId="0" fontId="26" fillId="0" borderId="26" xfId="0" applyFont="1" applyFill="1" applyBorder="1" applyAlignment="1">
      <alignment horizontal="center" vertical="center" wrapText="1"/>
    </xf>
    <xf numFmtId="0" fontId="26" fillId="0" borderId="37" xfId="0" applyFont="1" applyFill="1" applyBorder="1" applyAlignment="1">
      <alignment horizontal="center" vertical="center" wrapText="1"/>
    </xf>
    <xf numFmtId="0" fontId="26" fillId="0" borderId="34" xfId="0" applyFont="1" applyFill="1" applyBorder="1" applyAlignment="1">
      <alignment horizontal="center" vertical="center" wrapText="1"/>
    </xf>
    <xf numFmtId="0" fontId="26" fillId="0" borderId="74" xfId="0" applyFont="1" applyFill="1" applyBorder="1" applyAlignment="1">
      <alignment horizontal="center" vertical="center" wrapText="1"/>
    </xf>
    <xf numFmtId="0" fontId="26" fillId="0" borderId="86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26" fillId="0" borderId="30" xfId="0" applyFont="1" applyFill="1" applyBorder="1" applyAlignment="1">
      <alignment horizontal="center" vertical="center" wrapText="1"/>
    </xf>
    <xf numFmtId="0" fontId="26" fillId="0" borderId="38" xfId="0" applyFont="1" applyFill="1" applyBorder="1" applyAlignment="1">
      <alignment horizontal="center" vertical="center" wrapText="1"/>
    </xf>
    <xf numFmtId="3" fontId="10" fillId="0" borderId="24" xfId="0" applyNumberFormat="1" applyFont="1" applyFill="1" applyBorder="1" applyAlignment="1">
      <alignment horizontal="center" vertical="center" wrapText="1"/>
    </xf>
    <xf numFmtId="0" fontId="42" fillId="0" borderId="7" xfId="18" applyFont="1" applyBorder="1" applyAlignment="1">
      <alignment horizontal="left" vertical="center" wrapText="1"/>
      <protection/>
    </xf>
    <xf numFmtId="0" fontId="42" fillId="0" borderId="16" xfId="18" applyFont="1" applyBorder="1" applyAlignment="1">
      <alignment horizontal="left" vertical="center" wrapText="1"/>
      <protection/>
    </xf>
    <xf numFmtId="0" fontId="39" fillId="2" borderId="13" xfId="18" applyFont="1" applyFill="1" applyBorder="1" applyAlignment="1">
      <alignment horizontal="center" vertical="center" wrapText="1"/>
      <protection/>
    </xf>
    <xf numFmtId="0" fontId="39" fillId="2" borderId="1" xfId="18" applyFont="1" applyFill="1" applyBorder="1" applyAlignment="1">
      <alignment horizontal="center" vertical="center" wrapText="1"/>
      <protection/>
    </xf>
    <xf numFmtId="0" fontId="39" fillId="2" borderId="18" xfId="18" applyFont="1" applyFill="1" applyBorder="1" applyAlignment="1">
      <alignment horizontal="center" vertical="center" wrapText="1"/>
      <protection/>
    </xf>
    <xf numFmtId="0" fontId="39" fillId="2" borderId="14" xfId="18" applyFont="1" applyFill="1" applyBorder="1" applyAlignment="1">
      <alignment horizontal="center" vertical="center" wrapText="1"/>
      <protection/>
    </xf>
    <xf numFmtId="0" fontId="39" fillId="2" borderId="32" xfId="18" applyFont="1" applyFill="1" applyBorder="1" applyAlignment="1">
      <alignment horizontal="center" vertical="center" wrapText="1"/>
      <protection/>
    </xf>
    <xf numFmtId="0" fontId="0" fillId="0" borderId="78" xfId="0" applyBorder="1" applyAlignment="1">
      <alignment horizontal="center" vertical="center" wrapText="1"/>
    </xf>
    <xf numFmtId="0" fontId="39" fillId="2" borderId="34" xfId="18" applyFont="1" applyFill="1" applyBorder="1" applyAlignment="1">
      <alignment horizontal="center" vertical="center" wrapText="1"/>
      <protection/>
    </xf>
    <xf numFmtId="0" fontId="39" fillId="2" borderId="74" xfId="18" applyFont="1" applyFill="1" applyBorder="1" applyAlignment="1">
      <alignment horizontal="center" vertical="center" wrapText="1"/>
      <protection/>
    </xf>
    <xf numFmtId="0" fontId="39" fillId="2" borderId="91" xfId="18" applyFont="1" applyFill="1" applyBorder="1" applyAlignment="1">
      <alignment horizontal="center" vertical="center" wrapText="1"/>
      <protection/>
    </xf>
    <xf numFmtId="0" fontId="39" fillId="2" borderId="24" xfId="18" applyFont="1" applyFill="1" applyBorder="1" applyAlignment="1">
      <alignment horizontal="center" vertical="center" wrapText="1"/>
      <protection/>
    </xf>
    <xf numFmtId="0" fontId="39" fillId="2" borderId="73" xfId="18" applyFont="1" applyFill="1" applyBorder="1" applyAlignment="1">
      <alignment horizontal="center" vertical="center" wrapText="1"/>
      <protection/>
    </xf>
    <xf numFmtId="0" fontId="39" fillId="2" borderId="92" xfId="18" applyFont="1" applyFill="1" applyBorder="1" applyAlignment="1">
      <alignment horizontal="center" vertical="center" wrapText="1"/>
      <protection/>
    </xf>
    <xf numFmtId="0" fontId="39" fillId="2" borderId="7" xfId="18" applyFont="1" applyFill="1" applyBorder="1" applyAlignment="1">
      <alignment horizontal="center" vertical="center" wrapText="1"/>
      <protection/>
    </xf>
    <xf numFmtId="0" fontId="39" fillId="2" borderId="16" xfId="18" applyFont="1" applyFill="1" applyBorder="1" applyAlignment="1">
      <alignment horizontal="center" vertical="center" wrapText="1"/>
      <protection/>
    </xf>
    <xf numFmtId="0" fontId="23" fillId="2" borderId="85" xfId="18" applyFont="1" applyFill="1" applyBorder="1" applyAlignment="1">
      <alignment horizontal="center" vertical="center" wrapText="1"/>
      <protection/>
    </xf>
    <xf numFmtId="0" fontId="23" fillId="2" borderId="22" xfId="18" applyFont="1" applyFill="1" applyBorder="1" applyAlignment="1">
      <alignment horizontal="center" vertical="center" wrapText="1"/>
      <protection/>
    </xf>
    <xf numFmtId="0" fontId="23" fillId="2" borderId="25" xfId="18" applyFont="1" applyFill="1" applyBorder="1" applyAlignment="1">
      <alignment horizontal="center" vertical="center" wrapText="1"/>
      <protection/>
    </xf>
    <xf numFmtId="0" fontId="32" fillId="0" borderId="0" xfId="18" applyFont="1" applyBorder="1" applyAlignment="1">
      <alignment horizontal="left" wrapText="1"/>
      <protection/>
    </xf>
    <xf numFmtId="0" fontId="43" fillId="0" borderId="16" xfId="18" applyFont="1" applyBorder="1" applyAlignment="1">
      <alignment horizontal="left" vertical="center" wrapText="1"/>
      <protection/>
    </xf>
    <xf numFmtId="0" fontId="26" fillId="0" borderId="0" xfId="18" applyFont="1" applyBorder="1" applyAlignment="1">
      <alignment horizontal="center" vertical="top" wrapText="1"/>
      <protection/>
    </xf>
    <xf numFmtId="0" fontId="5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69" xfId="0" applyFont="1" applyBorder="1" applyAlignment="1">
      <alignment horizontal="left" vertical="center"/>
    </xf>
    <xf numFmtId="0" fontId="0" fillId="0" borderId="94" xfId="0" applyFont="1" applyBorder="1" applyAlignment="1">
      <alignment horizontal="left" vertical="center"/>
    </xf>
    <xf numFmtId="0" fontId="0" fillId="0" borderId="71" xfId="0" applyFont="1" applyBorder="1" applyAlignment="1">
      <alignment horizontal="left" vertical="center"/>
    </xf>
    <xf numFmtId="0" fontId="0" fillId="0" borderId="51" xfId="0" applyFont="1" applyBorder="1" applyAlignment="1">
      <alignment horizontal="left" vertical="center"/>
    </xf>
    <xf numFmtId="0" fontId="0" fillId="0" borderId="95" xfId="0" applyFont="1" applyBorder="1" applyAlignment="1">
      <alignment horizontal="left" vertical="center"/>
    </xf>
    <xf numFmtId="0" fontId="0" fillId="0" borderId="55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49" xfId="0" applyFont="1" applyBorder="1" applyAlignment="1">
      <alignment horizontal="left" vertical="center"/>
    </xf>
    <xf numFmtId="0" fontId="0" fillId="0" borderId="82" xfId="0" applyFont="1" applyBorder="1" applyAlignment="1">
      <alignment horizontal="left" vertical="center"/>
    </xf>
    <xf numFmtId="0" fontId="0" fillId="0" borderId="65" xfId="0" applyFont="1" applyBorder="1" applyAlignment="1">
      <alignment horizontal="left" vertical="center"/>
    </xf>
    <xf numFmtId="0" fontId="0" fillId="0" borderId="49" xfId="0" applyFont="1" applyBorder="1" applyAlignment="1">
      <alignment horizontal="left" vertical="center" wrapText="1"/>
    </xf>
    <xf numFmtId="0" fontId="0" fillId="0" borderId="82" xfId="0" applyFont="1" applyBorder="1" applyAlignment="1">
      <alignment horizontal="left" vertical="center" wrapText="1"/>
    </xf>
    <xf numFmtId="0" fontId="0" fillId="0" borderId="65" xfId="0" applyFont="1" applyBorder="1" applyAlignment="1">
      <alignment horizontal="left" vertical="center" wrapText="1"/>
    </xf>
    <xf numFmtId="0" fontId="4" fillId="2" borderId="68" xfId="0" applyFont="1" applyFill="1" applyBorder="1" applyAlignment="1">
      <alignment horizontal="center" vertical="center"/>
    </xf>
    <xf numFmtId="0" fontId="4" fillId="2" borderId="93" xfId="0" applyFont="1" applyFill="1" applyBorder="1" applyAlignment="1">
      <alignment horizontal="center" vertical="center"/>
    </xf>
    <xf numFmtId="0" fontId="4" fillId="2" borderId="72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73" xfId="0" applyFont="1" applyFill="1" applyBorder="1" applyAlignment="1">
      <alignment horizontal="center" vertical="center"/>
    </xf>
    <xf numFmtId="0" fontId="4" fillId="2" borderId="53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0" fillId="0" borderId="49" xfId="0" applyFont="1" applyBorder="1" applyAlignment="1">
      <alignment horizontal="left" vertical="top" wrapText="1"/>
    </xf>
    <xf numFmtId="0" fontId="0" fillId="0" borderId="82" xfId="0" applyFont="1" applyBorder="1" applyAlignment="1">
      <alignment horizontal="left" vertical="top" wrapText="1"/>
    </xf>
    <xf numFmtId="0" fontId="0" fillId="0" borderId="65" xfId="0" applyFont="1" applyBorder="1" applyAlignment="1">
      <alignment horizontal="left" vertical="top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24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1" fillId="2" borderId="1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Normalny_28647_20060508_140808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"/>
  <dimension ref="A2:Q188"/>
  <sheetViews>
    <sheetView showGridLines="0" zoomScale="75" zoomScaleNormal="75" workbookViewId="0" topLeftCell="A130">
      <selection activeCell="G112" sqref="G112"/>
    </sheetView>
  </sheetViews>
  <sheetFormatPr defaultColWidth="9.00390625" defaultRowHeight="12.75"/>
  <cols>
    <col min="1" max="1" width="5.875" style="64" customWidth="1"/>
    <col min="2" max="2" width="8.125" style="64" customWidth="1"/>
    <col min="3" max="3" width="5.625" style="64" customWidth="1"/>
    <col min="4" max="4" width="40.125" style="0" customWidth="1"/>
    <col min="5" max="5" width="13.625" style="0" customWidth="1"/>
    <col min="6" max="6" width="13.125" style="0" customWidth="1"/>
    <col min="7" max="7" width="13.625" style="0" customWidth="1"/>
    <col min="8" max="8" width="6.75390625" style="0" customWidth="1"/>
    <col min="9" max="9" width="12.00390625" style="0" customWidth="1"/>
    <col min="10" max="10" width="12.125" style="0" customWidth="1"/>
    <col min="11" max="11" width="10.625" style="0" customWidth="1"/>
    <col min="12" max="12" width="13.625" style="0" customWidth="1"/>
    <col min="13" max="14" width="12.25390625" style="0" customWidth="1"/>
    <col min="15" max="16" width="13.375" style="0" customWidth="1"/>
    <col min="17" max="17" width="11.625" style="0" bestFit="1" customWidth="1"/>
  </cols>
  <sheetData>
    <row r="1" ht="6.75" customHeight="1"/>
    <row r="2" spans="2:16" ht="15" customHeight="1">
      <c r="B2" s="669" t="s">
        <v>622</v>
      </c>
      <c r="C2" s="669"/>
      <c r="D2" s="669"/>
      <c r="E2" s="669"/>
      <c r="F2" s="669"/>
      <c r="G2" s="669"/>
      <c r="H2" s="2"/>
      <c r="O2" s="86"/>
      <c r="P2" s="86" t="s">
        <v>111</v>
      </c>
    </row>
    <row r="3" spans="5:16" ht="7.5" customHeight="1" thickBot="1">
      <c r="E3" s="14"/>
      <c r="F3" s="14"/>
      <c r="G3" s="14"/>
      <c r="H3" s="14"/>
      <c r="J3" s="14"/>
      <c r="L3" s="14"/>
      <c r="O3" s="14"/>
      <c r="P3" s="14"/>
    </row>
    <row r="4" spans="1:16" s="77" customFormat="1" ht="13.5" customHeight="1" thickBot="1">
      <c r="A4" s="670" t="s">
        <v>59</v>
      </c>
      <c r="B4" s="672" t="s">
        <v>60</v>
      </c>
      <c r="C4" s="672" t="s">
        <v>61</v>
      </c>
      <c r="D4" s="672" t="s">
        <v>144</v>
      </c>
      <c r="E4" s="676" t="s">
        <v>547</v>
      </c>
      <c r="F4" s="677" t="s">
        <v>482</v>
      </c>
      <c r="G4" s="674" t="s">
        <v>537</v>
      </c>
      <c r="H4" s="664" t="s">
        <v>550</v>
      </c>
      <c r="I4" s="660" t="s">
        <v>556</v>
      </c>
      <c r="J4" s="662" t="s">
        <v>63</v>
      </c>
      <c r="K4" s="663"/>
      <c r="L4" s="660" t="s">
        <v>557</v>
      </c>
      <c r="M4" s="305" t="s">
        <v>63</v>
      </c>
      <c r="N4" s="306"/>
      <c r="O4" s="306"/>
      <c r="P4" s="307"/>
    </row>
    <row r="5" spans="1:16" s="77" customFormat="1" ht="78" thickBot="1">
      <c r="A5" s="671"/>
      <c r="B5" s="673"/>
      <c r="C5" s="673"/>
      <c r="D5" s="673"/>
      <c r="E5" s="673"/>
      <c r="F5" s="678"/>
      <c r="G5" s="675"/>
      <c r="H5" s="665"/>
      <c r="I5" s="661"/>
      <c r="J5" s="261" t="s">
        <v>480</v>
      </c>
      <c r="K5" s="261" t="s">
        <v>361</v>
      </c>
      <c r="L5" s="661"/>
      <c r="M5" s="261" t="s">
        <v>481</v>
      </c>
      <c r="N5" s="261" t="s">
        <v>266</v>
      </c>
      <c r="O5" s="262" t="s">
        <v>265</v>
      </c>
      <c r="P5" s="262" t="s">
        <v>549</v>
      </c>
    </row>
    <row r="6" spans="1:16" s="47" customFormat="1" ht="8.25">
      <c r="A6" s="236">
        <v>1</v>
      </c>
      <c r="B6" s="236">
        <v>2</v>
      </c>
      <c r="C6" s="236">
        <v>3</v>
      </c>
      <c r="D6" s="236">
        <v>4</v>
      </c>
      <c r="E6" s="236">
        <v>5</v>
      </c>
      <c r="F6" s="325">
        <v>6</v>
      </c>
      <c r="G6" s="339">
        <v>7</v>
      </c>
      <c r="H6" s="333">
        <v>8</v>
      </c>
      <c r="I6" s="236">
        <v>9</v>
      </c>
      <c r="J6" s="236">
        <v>10</v>
      </c>
      <c r="K6" s="236">
        <v>11</v>
      </c>
      <c r="L6" s="236">
        <v>12</v>
      </c>
      <c r="M6" s="236">
        <v>13</v>
      </c>
      <c r="N6" s="236">
        <v>14</v>
      </c>
      <c r="O6" s="236">
        <v>15</v>
      </c>
      <c r="P6" s="236">
        <v>16</v>
      </c>
    </row>
    <row r="7" spans="1:16" s="63" customFormat="1" ht="24.75" customHeight="1">
      <c r="A7" s="450" t="s">
        <v>173</v>
      </c>
      <c r="B7" s="451"/>
      <c r="C7" s="452"/>
      <c r="D7" s="452" t="s">
        <v>176</v>
      </c>
      <c r="E7" s="341">
        <f>E8+E14+E12</f>
        <v>4744319</v>
      </c>
      <c r="F7" s="342">
        <f>F8+F14+F12</f>
        <v>4707389</v>
      </c>
      <c r="G7" s="354">
        <f>G8+G14+G12</f>
        <v>4949000</v>
      </c>
      <c r="H7" s="343">
        <f>G7/F7</f>
        <v>1.0513259048699821</v>
      </c>
      <c r="I7" s="341">
        <f>I8+I14+I12</f>
        <v>4949000</v>
      </c>
      <c r="J7" s="341">
        <f>J8+J14+J12</f>
        <v>4925000</v>
      </c>
      <c r="K7" s="341">
        <f aca="true" t="shared" si="0" ref="K7:P7">K8+K14+K12</f>
        <v>24000</v>
      </c>
      <c r="L7" s="341">
        <f t="shared" si="0"/>
        <v>0</v>
      </c>
      <c r="M7" s="341">
        <f t="shared" si="0"/>
        <v>0</v>
      </c>
      <c r="N7" s="341">
        <f t="shared" si="0"/>
        <v>0</v>
      </c>
      <c r="O7" s="341">
        <f t="shared" si="0"/>
        <v>0</v>
      </c>
      <c r="P7" s="341">
        <f t="shared" si="0"/>
        <v>0</v>
      </c>
    </row>
    <row r="8" spans="1:16" s="62" customFormat="1" ht="30">
      <c r="A8" s="218"/>
      <c r="B8" s="448" t="s">
        <v>230</v>
      </c>
      <c r="C8" s="447"/>
      <c r="D8" s="453" t="s">
        <v>231</v>
      </c>
      <c r="E8" s="365">
        <f aca="true" t="shared" si="1" ref="E8:P8">SUM(E9:E11)</f>
        <v>3611282</v>
      </c>
      <c r="F8" s="366">
        <f>SUM(F9:F11)</f>
        <v>3611282</v>
      </c>
      <c r="G8" s="360">
        <f t="shared" si="1"/>
        <v>4735000</v>
      </c>
      <c r="H8" s="334">
        <f>G8/F8</f>
        <v>1.3111687206925409</v>
      </c>
      <c r="I8" s="365">
        <f t="shared" si="1"/>
        <v>4735000</v>
      </c>
      <c r="J8" s="365">
        <f t="shared" si="1"/>
        <v>4735000</v>
      </c>
      <c r="K8" s="365">
        <f t="shared" si="1"/>
        <v>0</v>
      </c>
      <c r="L8" s="365">
        <f t="shared" si="1"/>
        <v>0</v>
      </c>
      <c r="M8" s="365">
        <f t="shared" si="1"/>
        <v>0</v>
      </c>
      <c r="N8" s="365">
        <f t="shared" si="1"/>
        <v>0</v>
      </c>
      <c r="O8" s="365">
        <f>SUM(O9:O11)</f>
        <v>0</v>
      </c>
      <c r="P8" s="365">
        <f t="shared" si="1"/>
        <v>0</v>
      </c>
    </row>
    <row r="9" spans="1:16" ht="22.5" customHeight="1">
      <c r="A9" s="68"/>
      <c r="B9" s="361"/>
      <c r="C9" s="100" t="s">
        <v>182</v>
      </c>
      <c r="D9" s="362" t="s">
        <v>183</v>
      </c>
      <c r="E9" s="102">
        <v>53000</v>
      </c>
      <c r="F9" s="327">
        <v>53000</v>
      </c>
      <c r="G9" s="356">
        <f>I9+L9</f>
        <v>0</v>
      </c>
      <c r="H9" s="335">
        <f aca="true" t="shared" si="2" ref="H9:H69">G9/F9</f>
        <v>0</v>
      </c>
      <c r="I9" s="241">
        <f>J9+K9</f>
        <v>0</v>
      </c>
      <c r="J9" s="241"/>
      <c r="K9" s="241"/>
      <c r="L9" s="241"/>
      <c r="M9" s="241"/>
      <c r="N9" s="241"/>
      <c r="O9" s="241"/>
      <c r="P9" s="241"/>
    </row>
    <row r="10" spans="1:16" ht="51">
      <c r="A10" s="68"/>
      <c r="B10" s="73"/>
      <c r="C10" s="75" t="s">
        <v>232</v>
      </c>
      <c r="D10" s="61" t="s">
        <v>233</v>
      </c>
      <c r="E10" s="84">
        <v>186200</v>
      </c>
      <c r="F10" s="326">
        <v>186200</v>
      </c>
      <c r="G10" s="355">
        <f>I10+L10</f>
        <v>400000</v>
      </c>
      <c r="H10" s="335">
        <f t="shared" si="2"/>
        <v>2.1482277121374866</v>
      </c>
      <c r="I10" s="83">
        <f>J10+K10</f>
        <v>400000</v>
      </c>
      <c r="J10" s="83">
        <f>250000+150000</f>
        <v>400000</v>
      </c>
      <c r="K10" s="83"/>
      <c r="L10" s="83">
        <f>SUM(M10:P10)</f>
        <v>0</v>
      </c>
      <c r="M10" s="83"/>
      <c r="N10" s="83"/>
      <c r="O10" s="83"/>
      <c r="P10" s="83"/>
    </row>
    <row r="11" spans="1:16" ht="38.25">
      <c r="A11" s="66"/>
      <c r="B11" s="73"/>
      <c r="C11" s="73">
        <v>6298</v>
      </c>
      <c r="D11" s="304" t="s">
        <v>234</v>
      </c>
      <c r="E11" s="83">
        <v>3372082</v>
      </c>
      <c r="F11" s="331">
        <v>3372082</v>
      </c>
      <c r="G11" s="359">
        <f>I11+L11</f>
        <v>4335000</v>
      </c>
      <c r="H11" s="336">
        <f t="shared" si="2"/>
        <v>1.2855559265759255</v>
      </c>
      <c r="I11" s="83">
        <f>J11+K11</f>
        <v>4335000</v>
      </c>
      <c r="J11" s="83">
        <f>4250000+85000</f>
        <v>4335000</v>
      </c>
      <c r="K11" s="83"/>
      <c r="L11" s="83">
        <f>SUM(M11:P11)</f>
        <v>0</v>
      </c>
      <c r="M11" s="83"/>
      <c r="N11" s="83"/>
      <c r="O11" s="83"/>
      <c r="P11" s="83"/>
    </row>
    <row r="12" spans="1:16" s="62" customFormat="1" ht="30">
      <c r="A12" s="65"/>
      <c r="B12" s="448" t="s">
        <v>236</v>
      </c>
      <c r="C12" s="447"/>
      <c r="D12" s="449" t="s">
        <v>237</v>
      </c>
      <c r="E12" s="365">
        <f>E13</f>
        <v>1040300</v>
      </c>
      <c r="F12" s="366">
        <f>F13</f>
        <v>1040300</v>
      </c>
      <c r="G12" s="360">
        <f>G13</f>
        <v>190000</v>
      </c>
      <c r="H12" s="334">
        <f t="shared" si="2"/>
        <v>0.18263962318561952</v>
      </c>
      <c r="I12" s="365">
        <f>I13</f>
        <v>190000</v>
      </c>
      <c r="J12" s="365">
        <f>J13</f>
        <v>190000</v>
      </c>
      <c r="K12" s="365"/>
      <c r="L12" s="365">
        <f>L13</f>
        <v>0</v>
      </c>
      <c r="M12" s="365">
        <f>M13</f>
        <v>0</v>
      </c>
      <c r="N12" s="365">
        <f>N13</f>
        <v>0</v>
      </c>
      <c r="O12" s="365">
        <f>O13</f>
        <v>0</v>
      </c>
      <c r="P12" s="365">
        <f>P13</f>
        <v>0</v>
      </c>
    </row>
    <row r="13" spans="1:16" ht="51">
      <c r="A13" s="66"/>
      <c r="B13" s="367"/>
      <c r="C13" s="368" t="s">
        <v>235</v>
      </c>
      <c r="D13" s="369" t="s">
        <v>233</v>
      </c>
      <c r="E13" s="241">
        <v>1040300</v>
      </c>
      <c r="F13" s="332">
        <v>1040300</v>
      </c>
      <c r="G13" s="358">
        <f>I13+L13</f>
        <v>190000</v>
      </c>
      <c r="H13" s="336">
        <f t="shared" si="2"/>
        <v>0.18263962318561952</v>
      </c>
      <c r="I13" s="241">
        <f>J13</f>
        <v>190000</v>
      </c>
      <c r="J13" s="241">
        <f>190000</f>
        <v>190000</v>
      </c>
      <c r="K13" s="241"/>
      <c r="L13" s="241"/>
      <c r="M13" s="241"/>
      <c r="N13" s="241"/>
      <c r="O13" s="241"/>
      <c r="P13" s="241"/>
    </row>
    <row r="14" spans="1:16" s="62" customFormat="1" ht="15.75" customHeight="1">
      <c r="A14" s="65"/>
      <c r="B14" s="448" t="s">
        <v>174</v>
      </c>
      <c r="C14" s="447"/>
      <c r="D14" s="447" t="s">
        <v>177</v>
      </c>
      <c r="E14" s="365">
        <f>SUM(E15:E16)</f>
        <v>92737</v>
      </c>
      <c r="F14" s="366">
        <f>SUM(F15:F16)</f>
        <v>55807</v>
      </c>
      <c r="G14" s="360">
        <f>SUM(G15:G16)</f>
        <v>24000</v>
      </c>
      <c r="H14" s="334">
        <f t="shared" si="2"/>
        <v>0.4300535775081979</v>
      </c>
      <c r="I14" s="365">
        <f aca="true" t="shared" si="3" ref="I14:P14">SUM(I15:I16)</f>
        <v>24000</v>
      </c>
      <c r="J14" s="365">
        <f t="shared" si="3"/>
        <v>0</v>
      </c>
      <c r="K14" s="365">
        <f t="shared" si="3"/>
        <v>24000</v>
      </c>
      <c r="L14" s="365">
        <f t="shared" si="3"/>
        <v>0</v>
      </c>
      <c r="M14" s="365">
        <f t="shared" si="3"/>
        <v>0</v>
      </c>
      <c r="N14" s="365">
        <f t="shared" si="3"/>
        <v>0</v>
      </c>
      <c r="O14" s="365">
        <f t="shared" si="3"/>
        <v>0</v>
      </c>
      <c r="P14" s="365">
        <f t="shared" si="3"/>
        <v>0</v>
      </c>
    </row>
    <row r="15" spans="1:16" ht="21" customHeight="1">
      <c r="A15" s="68"/>
      <c r="B15" s="361"/>
      <c r="C15" s="368" t="s">
        <v>175</v>
      </c>
      <c r="D15" s="362" t="s">
        <v>178</v>
      </c>
      <c r="E15" s="102">
        <v>44000</v>
      </c>
      <c r="F15" s="327">
        <v>7070</v>
      </c>
      <c r="G15" s="356">
        <f>I15+L15</f>
        <v>24000</v>
      </c>
      <c r="H15" s="335">
        <f t="shared" si="2"/>
        <v>3.3946251768033946</v>
      </c>
      <c r="I15" s="241">
        <f>J15+K15</f>
        <v>24000</v>
      </c>
      <c r="J15" s="241"/>
      <c r="K15" s="241">
        <v>24000</v>
      </c>
      <c r="L15" s="241">
        <f>SUM(M15:P15)</f>
        <v>0</v>
      </c>
      <c r="M15" s="241"/>
      <c r="N15" s="241"/>
      <c r="O15" s="241"/>
      <c r="P15" s="241"/>
    </row>
    <row r="16" spans="1:16" ht="51">
      <c r="A16" s="68"/>
      <c r="B16" s="72"/>
      <c r="C16" s="76" t="s">
        <v>239</v>
      </c>
      <c r="D16" s="303" t="s">
        <v>240</v>
      </c>
      <c r="E16" s="84">
        <v>48737</v>
      </c>
      <c r="F16" s="326">
        <v>48737</v>
      </c>
      <c r="G16" s="355">
        <f>I16+L16</f>
        <v>0</v>
      </c>
      <c r="H16" s="336">
        <f t="shared" si="2"/>
        <v>0</v>
      </c>
      <c r="I16" s="83">
        <f>J16+K16</f>
        <v>0</v>
      </c>
      <c r="J16" s="83"/>
      <c r="K16" s="83"/>
      <c r="L16" s="83">
        <f>SUM(M16:P16)</f>
        <v>0</v>
      </c>
      <c r="M16" s="83"/>
      <c r="N16" s="83"/>
      <c r="O16" s="83"/>
      <c r="P16" s="83"/>
    </row>
    <row r="17" spans="1:16" s="63" customFormat="1" ht="26.25" customHeight="1">
      <c r="A17" s="450" t="s">
        <v>357</v>
      </c>
      <c r="B17" s="451"/>
      <c r="C17" s="452"/>
      <c r="D17" s="452" t="s">
        <v>360</v>
      </c>
      <c r="E17" s="341">
        <f aca="true" t="shared" si="4" ref="E17:P18">E18</f>
        <v>2500</v>
      </c>
      <c r="F17" s="342">
        <f t="shared" si="4"/>
        <v>2509</v>
      </c>
      <c r="G17" s="354">
        <f t="shared" si="4"/>
        <v>2200</v>
      </c>
      <c r="H17" s="343">
        <f t="shared" si="2"/>
        <v>0.8768433638899961</v>
      </c>
      <c r="I17" s="341">
        <f t="shared" si="4"/>
        <v>0</v>
      </c>
      <c r="J17" s="341">
        <f t="shared" si="4"/>
        <v>0</v>
      </c>
      <c r="K17" s="341">
        <f t="shared" si="4"/>
        <v>0</v>
      </c>
      <c r="L17" s="341">
        <f t="shared" si="4"/>
        <v>2200</v>
      </c>
      <c r="M17" s="341">
        <f t="shared" si="4"/>
        <v>0</v>
      </c>
      <c r="N17" s="341">
        <f t="shared" si="4"/>
        <v>0</v>
      </c>
      <c r="O17" s="341">
        <f t="shared" si="4"/>
        <v>0</v>
      </c>
      <c r="P17" s="341">
        <f t="shared" si="4"/>
        <v>2200</v>
      </c>
    </row>
    <row r="18" spans="1:16" s="62" customFormat="1" ht="24.75" customHeight="1">
      <c r="A18" s="218"/>
      <c r="B18" s="448" t="s">
        <v>358</v>
      </c>
      <c r="C18" s="447"/>
      <c r="D18" s="447" t="s">
        <v>359</v>
      </c>
      <c r="E18" s="365">
        <f>E19+E20</f>
        <v>2500</v>
      </c>
      <c r="F18" s="366">
        <f>F19+F20</f>
        <v>2509</v>
      </c>
      <c r="G18" s="360">
        <f>G19+G20</f>
        <v>2200</v>
      </c>
      <c r="H18" s="334">
        <f t="shared" si="2"/>
        <v>0.8768433638899961</v>
      </c>
      <c r="I18" s="365">
        <f t="shared" si="4"/>
        <v>0</v>
      </c>
      <c r="J18" s="365">
        <f t="shared" si="4"/>
        <v>0</v>
      </c>
      <c r="K18" s="365">
        <f t="shared" si="4"/>
        <v>0</v>
      </c>
      <c r="L18" s="365">
        <f t="shared" si="4"/>
        <v>2200</v>
      </c>
      <c r="M18" s="365">
        <f t="shared" si="4"/>
        <v>0</v>
      </c>
      <c r="N18" s="365">
        <f t="shared" si="4"/>
        <v>0</v>
      </c>
      <c r="O18" s="365">
        <f t="shared" si="4"/>
        <v>0</v>
      </c>
      <c r="P18" s="365">
        <f t="shared" si="4"/>
        <v>2200</v>
      </c>
    </row>
    <row r="19" spans="1:16" ht="66.75" customHeight="1">
      <c r="A19" s="68"/>
      <c r="B19" s="361"/>
      <c r="C19" s="368" t="s">
        <v>190</v>
      </c>
      <c r="D19" s="371" t="s">
        <v>191</v>
      </c>
      <c r="E19" s="102">
        <v>2100</v>
      </c>
      <c r="F19" s="327">
        <v>2234</v>
      </c>
      <c r="G19" s="356">
        <f>I19+L19</f>
        <v>2200</v>
      </c>
      <c r="H19" s="335">
        <f t="shared" si="2"/>
        <v>0.9847806624888094</v>
      </c>
      <c r="I19" s="241">
        <f>J19+K19</f>
        <v>0</v>
      </c>
      <c r="J19" s="241"/>
      <c r="K19" s="241"/>
      <c r="L19" s="241">
        <f>SUM(M19:P19)</f>
        <v>2200</v>
      </c>
      <c r="M19" s="241"/>
      <c r="N19" s="241"/>
      <c r="O19" s="241"/>
      <c r="P19" s="241">
        <v>2200</v>
      </c>
    </row>
    <row r="20" spans="1:16" ht="18.75" customHeight="1">
      <c r="A20" s="68"/>
      <c r="B20" s="72"/>
      <c r="C20" s="76" t="s">
        <v>182</v>
      </c>
      <c r="D20" s="46" t="s">
        <v>183</v>
      </c>
      <c r="E20" s="84">
        <v>400</v>
      </c>
      <c r="F20" s="326">
        <v>275</v>
      </c>
      <c r="G20" s="355">
        <f>I20+L20</f>
        <v>0</v>
      </c>
      <c r="H20" s="336">
        <f t="shared" si="2"/>
        <v>0</v>
      </c>
      <c r="I20" s="83">
        <f>J20+K20</f>
        <v>0</v>
      </c>
      <c r="J20" s="83"/>
      <c r="K20" s="83"/>
      <c r="L20" s="83">
        <f>SUM(M20:P20)</f>
        <v>0</v>
      </c>
      <c r="M20" s="83"/>
      <c r="N20" s="83"/>
      <c r="O20" s="83"/>
      <c r="P20" s="83"/>
    </row>
    <row r="21" spans="1:16" s="63" customFormat="1" ht="72">
      <c r="A21" s="454">
        <v>400</v>
      </c>
      <c r="B21" s="455"/>
      <c r="C21" s="452"/>
      <c r="D21" s="456" t="s">
        <v>180</v>
      </c>
      <c r="E21" s="341">
        <f aca="true" t="shared" si="5" ref="E21:P22">E22</f>
        <v>975120</v>
      </c>
      <c r="F21" s="342">
        <f t="shared" si="5"/>
        <v>460000</v>
      </c>
      <c r="G21" s="354">
        <f t="shared" si="5"/>
        <v>800000</v>
      </c>
      <c r="H21" s="343">
        <f t="shared" si="2"/>
        <v>1.7391304347826086</v>
      </c>
      <c r="I21" s="341">
        <f t="shared" si="5"/>
        <v>0</v>
      </c>
      <c r="J21" s="341">
        <f t="shared" si="5"/>
        <v>0</v>
      </c>
      <c r="K21" s="341">
        <f t="shared" si="5"/>
        <v>0</v>
      </c>
      <c r="L21" s="341">
        <f t="shared" si="5"/>
        <v>800000</v>
      </c>
      <c r="M21" s="341">
        <f t="shared" si="5"/>
        <v>0</v>
      </c>
      <c r="N21" s="341">
        <f t="shared" si="5"/>
        <v>0</v>
      </c>
      <c r="O21" s="341">
        <f t="shared" si="5"/>
        <v>0</v>
      </c>
      <c r="P21" s="341">
        <f t="shared" si="5"/>
        <v>800000</v>
      </c>
    </row>
    <row r="22" spans="1:16" s="62" customFormat="1" ht="24" customHeight="1">
      <c r="A22" s="97"/>
      <c r="B22" s="447">
        <v>40002</v>
      </c>
      <c r="C22" s="447"/>
      <c r="D22" s="447" t="s">
        <v>181</v>
      </c>
      <c r="E22" s="365">
        <f t="shared" si="5"/>
        <v>975120</v>
      </c>
      <c r="F22" s="366">
        <f t="shared" si="5"/>
        <v>460000</v>
      </c>
      <c r="G22" s="360">
        <f t="shared" si="5"/>
        <v>800000</v>
      </c>
      <c r="H22" s="334">
        <f t="shared" si="2"/>
        <v>1.7391304347826086</v>
      </c>
      <c r="I22" s="365">
        <f t="shared" si="5"/>
        <v>0</v>
      </c>
      <c r="J22" s="365">
        <f t="shared" si="5"/>
        <v>0</v>
      </c>
      <c r="K22" s="365">
        <f t="shared" si="5"/>
        <v>0</v>
      </c>
      <c r="L22" s="365">
        <f t="shared" si="5"/>
        <v>800000</v>
      </c>
      <c r="M22" s="365">
        <f t="shared" si="5"/>
        <v>0</v>
      </c>
      <c r="N22" s="365">
        <f t="shared" si="5"/>
        <v>0</v>
      </c>
      <c r="O22" s="365">
        <f t="shared" si="5"/>
        <v>0</v>
      </c>
      <c r="P22" s="365">
        <f t="shared" si="5"/>
        <v>800000</v>
      </c>
    </row>
    <row r="23" spans="1:16" ht="23.25" customHeight="1">
      <c r="A23" s="263"/>
      <c r="B23" s="457"/>
      <c r="C23" s="266" t="s">
        <v>182</v>
      </c>
      <c r="D23" s="458" t="s">
        <v>183</v>
      </c>
      <c r="E23" s="226">
        <v>975120</v>
      </c>
      <c r="F23" s="330">
        <v>460000</v>
      </c>
      <c r="G23" s="375">
        <f>I23+L23</f>
        <v>800000</v>
      </c>
      <c r="H23" s="376">
        <f t="shared" si="2"/>
        <v>1.7391304347826086</v>
      </c>
      <c r="I23" s="226">
        <f>J23+K23</f>
        <v>0</v>
      </c>
      <c r="J23" s="226"/>
      <c r="K23" s="226"/>
      <c r="L23" s="226">
        <f>SUM(M23:P23)</f>
        <v>800000</v>
      </c>
      <c r="M23" s="226"/>
      <c r="N23" s="226"/>
      <c r="O23" s="226"/>
      <c r="P23" s="226">
        <v>800000</v>
      </c>
    </row>
    <row r="24" spans="1:16" ht="10.5" customHeight="1">
      <c r="A24" s="87"/>
      <c r="B24" s="4"/>
      <c r="C24" s="80"/>
      <c r="D24" s="5"/>
      <c r="E24" s="96"/>
      <c r="F24" s="96"/>
      <c r="G24" s="380"/>
      <c r="H24" s="144"/>
      <c r="I24" s="96"/>
      <c r="J24" s="96"/>
      <c r="K24" s="96"/>
      <c r="L24" s="96"/>
      <c r="M24" s="96"/>
      <c r="N24" s="96"/>
      <c r="O24" s="96"/>
      <c r="P24" s="96"/>
    </row>
    <row r="25" spans="1:16" s="47" customFormat="1" ht="8.25">
      <c r="A25" s="88">
        <v>1</v>
      </c>
      <c r="B25" s="88">
        <v>2</v>
      </c>
      <c r="C25" s="88">
        <v>3</v>
      </c>
      <c r="D25" s="88">
        <v>4</v>
      </c>
      <c r="E25" s="88">
        <v>5</v>
      </c>
      <c r="F25" s="329">
        <v>6</v>
      </c>
      <c r="G25" s="379">
        <v>7</v>
      </c>
      <c r="H25" s="338">
        <v>8</v>
      </c>
      <c r="I25" s="88">
        <v>9</v>
      </c>
      <c r="J25" s="88">
        <v>10</v>
      </c>
      <c r="K25" s="88">
        <v>11</v>
      </c>
      <c r="L25" s="88">
        <v>12</v>
      </c>
      <c r="M25" s="88">
        <v>13</v>
      </c>
      <c r="N25" s="88">
        <v>14</v>
      </c>
      <c r="O25" s="88">
        <v>15</v>
      </c>
      <c r="P25" s="88">
        <v>16</v>
      </c>
    </row>
    <row r="26" spans="1:16" s="63" customFormat="1" ht="21" customHeight="1">
      <c r="A26" s="452">
        <v>600</v>
      </c>
      <c r="B26" s="455"/>
      <c r="C26" s="452"/>
      <c r="D26" s="452" t="s">
        <v>293</v>
      </c>
      <c r="E26" s="341">
        <f aca="true" t="shared" si="6" ref="E26:P26">E27</f>
        <v>150000</v>
      </c>
      <c r="F26" s="342">
        <f t="shared" si="6"/>
        <v>150000</v>
      </c>
      <c r="G26" s="354">
        <f t="shared" si="6"/>
        <v>323000</v>
      </c>
      <c r="H26" s="343">
        <f t="shared" si="2"/>
        <v>2.1533333333333333</v>
      </c>
      <c r="I26" s="341">
        <f t="shared" si="6"/>
        <v>323000</v>
      </c>
      <c r="J26" s="341">
        <f t="shared" si="6"/>
        <v>323000</v>
      </c>
      <c r="K26" s="341">
        <f t="shared" si="6"/>
        <v>0</v>
      </c>
      <c r="L26" s="341">
        <f t="shared" si="6"/>
        <v>0</v>
      </c>
      <c r="M26" s="341">
        <f t="shared" si="6"/>
        <v>0</v>
      </c>
      <c r="N26" s="341">
        <f t="shared" si="6"/>
        <v>0</v>
      </c>
      <c r="O26" s="341">
        <f t="shared" si="6"/>
        <v>0</v>
      </c>
      <c r="P26" s="341">
        <f t="shared" si="6"/>
        <v>0</v>
      </c>
    </row>
    <row r="27" spans="1:16" s="62" customFormat="1" ht="18.75" customHeight="1">
      <c r="A27" s="438"/>
      <c r="B27" s="447">
        <v>60016</v>
      </c>
      <c r="C27" s="447"/>
      <c r="D27" s="447" t="s">
        <v>295</v>
      </c>
      <c r="E27" s="365">
        <f>E28</f>
        <v>150000</v>
      </c>
      <c r="F27" s="366">
        <f>F28</f>
        <v>150000</v>
      </c>
      <c r="G27" s="360">
        <f>G28</f>
        <v>323000</v>
      </c>
      <c r="H27" s="334">
        <f t="shared" si="2"/>
        <v>2.1533333333333333</v>
      </c>
      <c r="I27" s="365">
        <f aca="true" t="shared" si="7" ref="I27:P27">I28</f>
        <v>323000</v>
      </c>
      <c r="J27" s="365">
        <f t="shared" si="7"/>
        <v>323000</v>
      </c>
      <c r="K27" s="365">
        <f t="shared" si="7"/>
        <v>0</v>
      </c>
      <c r="L27" s="365">
        <f t="shared" si="7"/>
        <v>0</v>
      </c>
      <c r="M27" s="365">
        <f t="shared" si="7"/>
        <v>0</v>
      </c>
      <c r="N27" s="365">
        <f t="shared" si="7"/>
        <v>0</v>
      </c>
      <c r="O27" s="365">
        <f t="shared" si="7"/>
        <v>0</v>
      </c>
      <c r="P27" s="365">
        <f t="shared" si="7"/>
        <v>0</v>
      </c>
    </row>
    <row r="28" spans="1:16" ht="38.25">
      <c r="A28" s="439"/>
      <c r="B28" s="440"/>
      <c r="C28" s="441" t="s">
        <v>413</v>
      </c>
      <c r="D28" s="442" t="s">
        <v>258</v>
      </c>
      <c r="E28" s="113">
        <v>150000</v>
      </c>
      <c r="F28" s="443">
        <v>150000</v>
      </c>
      <c r="G28" s="444">
        <f>I28+L28</f>
        <v>323000</v>
      </c>
      <c r="H28" s="445">
        <f t="shared" si="2"/>
        <v>2.1533333333333333</v>
      </c>
      <c r="I28" s="113">
        <f>J28+K28</f>
        <v>323000</v>
      </c>
      <c r="J28" s="113">
        <f>10000+225000+83000+5000</f>
        <v>323000</v>
      </c>
      <c r="K28" s="113"/>
      <c r="L28" s="113">
        <f>SUM(M28:P28)</f>
        <v>0</v>
      </c>
      <c r="M28" s="113"/>
      <c r="N28" s="113"/>
      <c r="O28" s="113"/>
      <c r="P28" s="113"/>
    </row>
    <row r="29" spans="1:17" s="63" customFormat="1" ht="24" customHeight="1">
      <c r="A29" s="452">
        <v>700</v>
      </c>
      <c r="B29" s="455"/>
      <c r="C29" s="452"/>
      <c r="D29" s="452" t="s">
        <v>184</v>
      </c>
      <c r="E29" s="341">
        <f aca="true" t="shared" si="8" ref="E29:P29">E30</f>
        <v>628480</v>
      </c>
      <c r="F29" s="342">
        <f t="shared" si="8"/>
        <v>628289</v>
      </c>
      <c r="G29" s="354">
        <f t="shared" si="8"/>
        <v>231660</v>
      </c>
      <c r="H29" s="343">
        <f t="shared" si="2"/>
        <v>0.3687156706547465</v>
      </c>
      <c r="I29" s="341">
        <f t="shared" si="8"/>
        <v>204472</v>
      </c>
      <c r="J29" s="341">
        <f t="shared" si="8"/>
        <v>0</v>
      </c>
      <c r="K29" s="341">
        <f t="shared" si="8"/>
        <v>204472</v>
      </c>
      <c r="L29" s="341">
        <f t="shared" si="8"/>
        <v>27188</v>
      </c>
      <c r="M29" s="341">
        <f t="shared" si="8"/>
        <v>0</v>
      </c>
      <c r="N29" s="341">
        <f t="shared" si="8"/>
        <v>0</v>
      </c>
      <c r="O29" s="341">
        <f t="shared" si="8"/>
        <v>0</v>
      </c>
      <c r="P29" s="341">
        <f t="shared" si="8"/>
        <v>27188</v>
      </c>
      <c r="Q29" s="221"/>
    </row>
    <row r="30" spans="1:16" s="62" customFormat="1" ht="30">
      <c r="A30" s="220"/>
      <c r="B30" s="447">
        <v>70005</v>
      </c>
      <c r="C30" s="447"/>
      <c r="D30" s="449" t="s">
        <v>185</v>
      </c>
      <c r="E30" s="365">
        <f>SUM(E31:E35)</f>
        <v>628480</v>
      </c>
      <c r="F30" s="365">
        <f>SUM(F31:F35)</f>
        <v>628289</v>
      </c>
      <c r="G30" s="360">
        <f>SUM(G31:G35)</f>
        <v>231660</v>
      </c>
      <c r="H30" s="334">
        <f t="shared" si="2"/>
        <v>0.3687156706547465</v>
      </c>
      <c r="I30" s="365">
        <f aca="true" t="shared" si="9" ref="I30:P30">SUM(I31:I35)</f>
        <v>204472</v>
      </c>
      <c r="J30" s="365">
        <f t="shared" si="9"/>
        <v>0</v>
      </c>
      <c r="K30" s="365">
        <f t="shared" si="9"/>
        <v>204472</v>
      </c>
      <c r="L30" s="365">
        <f t="shared" si="9"/>
        <v>27188</v>
      </c>
      <c r="M30" s="365">
        <f t="shared" si="9"/>
        <v>0</v>
      </c>
      <c r="N30" s="365">
        <f t="shared" si="9"/>
        <v>0</v>
      </c>
      <c r="O30" s="365">
        <f t="shared" si="9"/>
        <v>0</v>
      </c>
      <c r="P30" s="365">
        <f t="shared" si="9"/>
        <v>27188</v>
      </c>
    </row>
    <row r="31" spans="1:16" ht="25.5">
      <c r="A31" s="66"/>
      <c r="B31" s="265"/>
      <c r="C31" s="100" t="s">
        <v>186</v>
      </c>
      <c r="D31" s="101" t="s">
        <v>187</v>
      </c>
      <c r="E31" s="102">
        <v>6120</v>
      </c>
      <c r="F31" s="327">
        <v>6120</v>
      </c>
      <c r="G31" s="356">
        <f>I31+L31</f>
        <v>6120</v>
      </c>
      <c r="H31" s="335">
        <f t="shared" si="2"/>
        <v>1</v>
      </c>
      <c r="I31" s="102">
        <f>J31+K31</f>
        <v>0</v>
      </c>
      <c r="J31" s="102"/>
      <c r="K31" s="102"/>
      <c r="L31" s="102">
        <f>SUM(M31:P31)</f>
        <v>6120</v>
      </c>
      <c r="M31" s="102"/>
      <c r="N31" s="102"/>
      <c r="O31" s="102"/>
      <c r="P31" s="102">
        <v>6120</v>
      </c>
    </row>
    <row r="32" spans="1:16" ht="19.5" customHeight="1">
      <c r="A32" s="98"/>
      <c r="B32" s="265"/>
      <c r="C32" s="100" t="s">
        <v>188</v>
      </c>
      <c r="D32" s="121" t="s">
        <v>189</v>
      </c>
      <c r="E32" s="102">
        <v>88</v>
      </c>
      <c r="F32" s="327">
        <v>97</v>
      </c>
      <c r="G32" s="356">
        <f>I32+L32</f>
        <v>100</v>
      </c>
      <c r="H32" s="335">
        <f t="shared" si="2"/>
        <v>1.0309278350515463</v>
      </c>
      <c r="I32" s="102">
        <f>J32+K32</f>
        <v>0</v>
      </c>
      <c r="J32" s="102"/>
      <c r="K32" s="102"/>
      <c r="L32" s="241">
        <f>SUM(M32:P32)</f>
        <v>100</v>
      </c>
      <c r="M32" s="102"/>
      <c r="N32" s="102"/>
      <c r="O32" s="102"/>
      <c r="P32" s="102">
        <v>100</v>
      </c>
    </row>
    <row r="33" spans="1:16" ht="61.5" customHeight="1">
      <c r="A33" s="66"/>
      <c r="B33" s="71"/>
      <c r="C33" s="75" t="s">
        <v>190</v>
      </c>
      <c r="D33" s="61" t="s">
        <v>191</v>
      </c>
      <c r="E33" s="84">
        <v>18472</v>
      </c>
      <c r="F33" s="326">
        <v>18472</v>
      </c>
      <c r="G33" s="355">
        <f>I33+L33</f>
        <v>20968</v>
      </c>
      <c r="H33" s="335">
        <f t="shared" si="2"/>
        <v>1.1351234300563013</v>
      </c>
      <c r="I33" s="83">
        <f>J33+K33</f>
        <v>0</v>
      </c>
      <c r="J33" s="84"/>
      <c r="K33" s="84"/>
      <c r="L33" s="83">
        <f>SUM(M33:P33)</f>
        <v>20968</v>
      </c>
      <c r="M33" s="84"/>
      <c r="N33" s="84"/>
      <c r="O33" s="84"/>
      <c r="P33" s="84">
        <v>20968</v>
      </c>
    </row>
    <row r="34" spans="1:16" ht="38.25">
      <c r="A34" s="68"/>
      <c r="B34" s="72"/>
      <c r="C34" s="75" t="s">
        <v>538</v>
      </c>
      <c r="D34" s="303" t="s">
        <v>539</v>
      </c>
      <c r="E34" s="84">
        <v>603600</v>
      </c>
      <c r="F34" s="326">
        <v>603600</v>
      </c>
      <c r="G34" s="355">
        <f>I34+L34</f>
        <v>204472</v>
      </c>
      <c r="H34" s="335">
        <f t="shared" si="2"/>
        <v>0.338754141815772</v>
      </c>
      <c r="I34" s="83">
        <f>J34+K34</f>
        <v>204472</v>
      </c>
      <c r="J34" s="83"/>
      <c r="K34" s="83">
        <f>129472+75000</f>
        <v>204472</v>
      </c>
      <c r="L34" s="83">
        <f>SUM(M34:P34)</f>
        <v>0</v>
      </c>
      <c r="M34" s="83"/>
      <c r="N34" s="83"/>
      <c r="O34" s="83"/>
      <c r="P34" s="83"/>
    </row>
    <row r="35" spans="1:16" ht="18" customHeight="1">
      <c r="A35" s="263"/>
      <c r="B35" s="320"/>
      <c r="C35" s="264" t="s">
        <v>192</v>
      </c>
      <c r="D35" s="21" t="s">
        <v>193</v>
      </c>
      <c r="E35" s="114">
        <v>200</v>
      </c>
      <c r="F35" s="328">
        <v>0</v>
      </c>
      <c r="G35" s="357">
        <f>I35+L35</f>
        <v>0</v>
      </c>
      <c r="H35" s="337"/>
      <c r="I35" s="114">
        <f>J35+K35</f>
        <v>0</v>
      </c>
      <c r="J35" s="114"/>
      <c r="K35" s="114"/>
      <c r="L35" s="114">
        <f>SUM(M35:P35)</f>
        <v>0</v>
      </c>
      <c r="M35" s="114"/>
      <c r="N35" s="114"/>
      <c r="O35" s="114"/>
      <c r="P35" s="114"/>
    </row>
    <row r="36" spans="1:16" s="63" customFormat="1" ht="27.75" customHeight="1">
      <c r="A36" s="452">
        <v>750</v>
      </c>
      <c r="B36" s="455"/>
      <c r="C36" s="452"/>
      <c r="D36" s="452" t="s">
        <v>194</v>
      </c>
      <c r="E36" s="341">
        <f aca="true" t="shared" si="10" ref="E36:P36">E40+E37</f>
        <v>86133</v>
      </c>
      <c r="F36" s="342">
        <f>F40+F37</f>
        <v>85733</v>
      </c>
      <c r="G36" s="354">
        <f t="shared" si="10"/>
        <v>73478</v>
      </c>
      <c r="H36" s="343">
        <f t="shared" si="2"/>
        <v>0.8570562093942823</v>
      </c>
      <c r="I36" s="341">
        <f t="shared" si="10"/>
        <v>0</v>
      </c>
      <c r="J36" s="341">
        <f t="shared" si="10"/>
        <v>0</v>
      </c>
      <c r="K36" s="341">
        <f t="shared" si="10"/>
        <v>0</v>
      </c>
      <c r="L36" s="341">
        <f t="shared" si="10"/>
        <v>73478</v>
      </c>
      <c r="M36" s="341">
        <f t="shared" si="10"/>
        <v>0</v>
      </c>
      <c r="N36" s="341">
        <f t="shared" si="10"/>
        <v>0</v>
      </c>
      <c r="O36" s="341">
        <f>O40+O37</f>
        <v>66678</v>
      </c>
      <c r="P36" s="341">
        <f t="shared" si="10"/>
        <v>6800</v>
      </c>
    </row>
    <row r="37" spans="1:16" s="62" customFormat="1" ht="21" customHeight="1">
      <c r="A37" s="220"/>
      <c r="B37" s="447">
        <v>75011</v>
      </c>
      <c r="C37" s="447"/>
      <c r="D37" s="447" t="s">
        <v>238</v>
      </c>
      <c r="E37" s="365">
        <f aca="true" t="shared" si="11" ref="E37:P37">SUM(E38:E39)</f>
        <v>70133</v>
      </c>
      <c r="F37" s="366">
        <f>SUM(F38:F39)</f>
        <v>70433</v>
      </c>
      <c r="G37" s="360">
        <f t="shared" si="11"/>
        <v>67478</v>
      </c>
      <c r="H37" s="334">
        <f t="shared" si="2"/>
        <v>0.9580452344781566</v>
      </c>
      <c r="I37" s="365">
        <f t="shared" si="11"/>
        <v>0</v>
      </c>
      <c r="J37" s="365">
        <f t="shared" si="11"/>
        <v>0</v>
      </c>
      <c r="K37" s="365">
        <f t="shared" si="11"/>
        <v>0</v>
      </c>
      <c r="L37" s="365">
        <f t="shared" si="11"/>
        <v>67478</v>
      </c>
      <c r="M37" s="365">
        <f t="shared" si="11"/>
        <v>0</v>
      </c>
      <c r="N37" s="365">
        <f t="shared" si="11"/>
        <v>0</v>
      </c>
      <c r="O37" s="365">
        <f>SUM(O38:O39)</f>
        <v>66678</v>
      </c>
      <c r="P37" s="365">
        <f t="shared" si="11"/>
        <v>800</v>
      </c>
    </row>
    <row r="38" spans="1:16" ht="29.25" customHeight="1">
      <c r="A38" s="66"/>
      <c r="B38" s="99"/>
      <c r="C38" s="100" t="s">
        <v>239</v>
      </c>
      <c r="D38" s="370" t="s">
        <v>240</v>
      </c>
      <c r="E38" s="102">
        <f>66233+2400</f>
        <v>68633</v>
      </c>
      <c r="F38" s="327">
        <f>E38</f>
        <v>68633</v>
      </c>
      <c r="G38" s="356">
        <f>I38+L38</f>
        <v>66678</v>
      </c>
      <c r="H38" s="335">
        <f t="shared" si="2"/>
        <v>0.9715151603456064</v>
      </c>
      <c r="I38" s="241">
        <f>J38+K38</f>
        <v>0</v>
      </c>
      <c r="J38" s="102"/>
      <c r="K38" s="102"/>
      <c r="L38" s="241">
        <f>SUM(M38:P38)</f>
        <v>66678</v>
      </c>
      <c r="M38" s="102"/>
      <c r="N38" s="102"/>
      <c r="O38" s="102">
        <v>66678</v>
      </c>
      <c r="P38" s="102"/>
    </row>
    <row r="39" spans="1:16" ht="27.75" customHeight="1">
      <c r="A39" s="68"/>
      <c r="B39" s="73"/>
      <c r="C39" s="76" t="s">
        <v>247</v>
      </c>
      <c r="D39" s="304" t="s">
        <v>248</v>
      </c>
      <c r="E39" s="83">
        <v>1500</v>
      </c>
      <c r="F39" s="331">
        <v>1800</v>
      </c>
      <c r="G39" s="359">
        <f>I39+L39</f>
        <v>800</v>
      </c>
      <c r="H39" s="336">
        <f t="shared" si="2"/>
        <v>0.4444444444444444</v>
      </c>
      <c r="I39" s="83">
        <f>J39+K39</f>
        <v>0</v>
      </c>
      <c r="J39" s="83"/>
      <c r="K39" s="83"/>
      <c r="L39" s="83">
        <f>SUM(M39:P39)</f>
        <v>800</v>
      </c>
      <c r="M39" s="83"/>
      <c r="N39" s="83"/>
      <c r="O39" s="83"/>
      <c r="P39" s="83">
        <v>800</v>
      </c>
    </row>
    <row r="40" spans="1:16" s="62" customFormat="1" ht="21.75" customHeight="1">
      <c r="A40" s="69"/>
      <c r="B40" s="447">
        <v>75023</v>
      </c>
      <c r="C40" s="447"/>
      <c r="D40" s="447" t="s">
        <v>195</v>
      </c>
      <c r="E40" s="365">
        <f>SUM(E41:E43)</f>
        <v>16000</v>
      </c>
      <c r="F40" s="366">
        <f>SUM(F41:F43)</f>
        <v>15300</v>
      </c>
      <c r="G40" s="360">
        <f>SUM(G41:G43)</f>
        <v>6000</v>
      </c>
      <c r="H40" s="334">
        <f t="shared" si="2"/>
        <v>0.39215686274509803</v>
      </c>
      <c r="I40" s="365">
        <f aca="true" t="shared" si="12" ref="I40:P40">SUM(I41:I43)</f>
        <v>0</v>
      </c>
      <c r="J40" s="365">
        <f t="shared" si="12"/>
        <v>0</v>
      </c>
      <c r="K40" s="365">
        <f t="shared" si="12"/>
        <v>0</v>
      </c>
      <c r="L40" s="365">
        <f t="shared" si="12"/>
        <v>6000</v>
      </c>
      <c r="M40" s="365">
        <f t="shared" si="12"/>
        <v>0</v>
      </c>
      <c r="N40" s="365">
        <f t="shared" si="12"/>
        <v>0</v>
      </c>
      <c r="O40" s="365">
        <f t="shared" si="12"/>
        <v>0</v>
      </c>
      <c r="P40" s="365">
        <f t="shared" si="12"/>
        <v>6000</v>
      </c>
    </row>
    <row r="41" spans="1:16" ht="15">
      <c r="A41" s="66"/>
      <c r="B41" s="99"/>
      <c r="C41" s="100" t="s">
        <v>192</v>
      </c>
      <c r="D41" s="362" t="s">
        <v>193</v>
      </c>
      <c r="E41" s="102">
        <v>9000</v>
      </c>
      <c r="F41" s="327">
        <f>E41</f>
        <v>9000</v>
      </c>
      <c r="G41" s="356">
        <f>I41+L41</f>
        <v>1200</v>
      </c>
      <c r="H41" s="335">
        <f t="shared" si="2"/>
        <v>0.13333333333333333</v>
      </c>
      <c r="I41" s="102"/>
      <c r="J41" s="102"/>
      <c r="K41" s="102"/>
      <c r="L41" s="241">
        <f>SUM(M41:P41)</f>
        <v>1200</v>
      </c>
      <c r="M41" s="102"/>
      <c r="N41" s="102"/>
      <c r="O41" s="102"/>
      <c r="P41" s="102">
        <v>1200</v>
      </c>
    </row>
    <row r="42" spans="1:16" ht="25.5">
      <c r="A42" s="68"/>
      <c r="B42" s="73"/>
      <c r="C42" s="75" t="s">
        <v>196</v>
      </c>
      <c r="D42" s="60" t="s">
        <v>197</v>
      </c>
      <c r="E42" s="84">
        <v>3000</v>
      </c>
      <c r="F42" s="326">
        <v>4300</v>
      </c>
      <c r="G42" s="355">
        <f>I42+L42</f>
        <v>4500</v>
      </c>
      <c r="H42" s="335">
        <f t="shared" si="2"/>
        <v>1.0465116279069768</v>
      </c>
      <c r="I42" s="83">
        <f>J42+K42</f>
        <v>0</v>
      </c>
      <c r="J42" s="83"/>
      <c r="K42" s="83"/>
      <c r="L42" s="83">
        <f>SUM(M42:P42)</f>
        <v>4500</v>
      </c>
      <c r="M42" s="83"/>
      <c r="N42" s="83"/>
      <c r="O42" s="83"/>
      <c r="P42" s="83">
        <v>4500</v>
      </c>
    </row>
    <row r="43" spans="1:16" ht="15">
      <c r="A43" s="66"/>
      <c r="B43" s="30"/>
      <c r="C43" s="75" t="s">
        <v>182</v>
      </c>
      <c r="D43" s="20" t="s">
        <v>183</v>
      </c>
      <c r="E43" s="84">
        <v>4000</v>
      </c>
      <c r="F43" s="326">
        <v>2000</v>
      </c>
      <c r="G43" s="355">
        <f>I43+L43</f>
        <v>300</v>
      </c>
      <c r="H43" s="335">
        <f t="shared" si="2"/>
        <v>0.15</v>
      </c>
      <c r="I43" s="83">
        <f>J43+K43</f>
        <v>0</v>
      </c>
      <c r="J43" s="84"/>
      <c r="K43" s="84"/>
      <c r="L43" s="83">
        <f>SUM(M43:P43)</f>
        <v>300</v>
      </c>
      <c r="M43" s="84"/>
      <c r="N43" s="84"/>
      <c r="O43" s="84"/>
      <c r="P43" s="84">
        <v>300</v>
      </c>
    </row>
    <row r="44" spans="1:16" s="63" customFormat="1" ht="90">
      <c r="A44" s="452">
        <v>751</v>
      </c>
      <c r="B44" s="455"/>
      <c r="C44" s="452"/>
      <c r="D44" s="456" t="s">
        <v>241</v>
      </c>
      <c r="E44" s="341">
        <f>E45+E51+E47</f>
        <v>25375</v>
      </c>
      <c r="F44" s="342">
        <f>F45+F51+F47</f>
        <v>25375</v>
      </c>
      <c r="G44" s="354">
        <f>G45+G51+G47</f>
        <v>1020</v>
      </c>
      <c r="H44" s="343">
        <f t="shared" si="2"/>
        <v>0.04019704433497537</v>
      </c>
      <c r="I44" s="341">
        <f aca="true" t="shared" si="13" ref="I44:P44">I45+I51</f>
        <v>0</v>
      </c>
      <c r="J44" s="341">
        <f t="shared" si="13"/>
        <v>0</v>
      </c>
      <c r="K44" s="341">
        <f t="shared" si="13"/>
        <v>0</v>
      </c>
      <c r="L44" s="341">
        <f t="shared" si="13"/>
        <v>1020</v>
      </c>
      <c r="M44" s="341">
        <f t="shared" si="13"/>
        <v>0</v>
      </c>
      <c r="N44" s="341">
        <f t="shared" si="13"/>
        <v>0</v>
      </c>
      <c r="O44" s="341">
        <f t="shared" si="13"/>
        <v>1020</v>
      </c>
      <c r="P44" s="341">
        <f t="shared" si="13"/>
        <v>0</v>
      </c>
    </row>
    <row r="45" spans="1:16" s="62" customFormat="1" ht="30">
      <c r="A45" s="220"/>
      <c r="B45" s="447">
        <v>75101</v>
      </c>
      <c r="C45" s="447"/>
      <c r="D45" s="449" t="s">
        <v>242</v>
      </c>
      <c r="E45" s="365">
        <f aca="true" t="shared" si="14" ref="E45:P45">E46</f>
        <v>1005</v>
      </c>
      <c r="F45" s="366">
        <f t="shared" si="14"/>
        <v>1005</v>
      </c>
      <c r="G45" s="360">
        <f t="shared" si="14"/>
        <v>1020</v>
      </c>
      <c r="H45" s="334">
        <f t="shared" si="2"/>
        <v>1.0149253731343284</v>
      </c>
      <c r="I45" s="365">
        <f t="shared" si="14"/>
        <v>0</v>
      </c>
      <c r="J45" s="365">
        <f t="shared" si="14"/>
        <v>0</v>
      </c>
      <c r="K45" s="365">
        <f t="shared" si="14"/>
        <v>0</v>
      </c>
      <c r="L45" s="365">
        <f t="shared" si="14"/>
        <v>1020</v>
      </c>
      <c r="M45" s="365">
        <f t="shared" si="14"/>
        <v>0</v>
      </c>
      <c r="N45" s="365">
        <f t="shared" si="14"/>
        <v>0</v>
      </c>
      <c r="O45" s="365">
        <f t="shared" si="14"/>
        <v>1020</v>
      </c>
      <c r="P45" s="365">
        <f t="shared" si="14"/>
        <v>0</v>
      </c>
    </row>
    <row r="46" spans="1:16" ht="51">
      <c r="A46" s="66"/>
      <c r="B46" s="367"/>
      <c r="C46" s="368" t="s">
        <v>239</v>
      </c>
      <c r="D46" s="371" t="s">
        <v>240</v>
      </c>
      <c r="E46" s="241">
        <v>1005</v>
      </c>
      <c r="F46" s="332">
        <v>1005</v>
      </c>
      <c r="G46" s="358">
        <f>I46+L46</f>
        <v>1020</v>
      </c>
      <c r="H46" s="336">
        <f t="shared" si="2"/>
        <v>1.0149253731343284</v>
      </c>
      <c r="I46" s="241">
        <f>J46+K46</f>
        <v>0</v>
      </c>
      <c r="J46" s="241"/>
      <c r="K46" s="241"/>
      <c r="L46" s="241">
        <f>SUM(M46:P46)</f>
        <v>1020</v>
      </c>
      <c r="M46" s="241"/>
      <c r="N46" s="241"/>
      <c r="O46" s="241">
        <v>1020</v>
      </c>
      <c r="P46" s="241"/>
    </row>
    <row r="47" spans="1:16" s="62" customFormat="1" ht="24" customHeight="1">
      <c r="A47" s="69"/>
      <c r="B47" s="447">
        <v>75108</v>
      </c>
      <c r="C47" s="447"/>
      <c r="D47" s="459" t="s">
        <v>545</v>
      </c>
      <c r="E47" s="365">
        <f>E48</f>
        <v>16680</v>
      </c>
      <c r="F47" s="366">
        <f>F48</f>
        <v>16680</v>
      </c>
      <c r="G47" s="360">
        <f>G48</f>
        <v>0</v>
      </c>
      <c r="H47" s="334">
        <f t="shared" si="2"/>
        <v>0</v>
      </c>
      <c r="I47" s="365">
        <f>I48</f>
        <v>0</v>
      </c>
      <c r="J47" s="365">
        <f>J48</f>
        <v>0</v>
      </c>
      <c r="K47" s="365"/>
      <c r="L47" s="365">
        <f>L48</f>
        <v>0</v>
      </c>
      <c r="M47" s="365">
        <f>M48</f>
        <v>0</v>
      </c>
      <c r="N47" s="365">
        <f>N48</f>
        <v>0</v>
      </c>
      <c r="O47" s="365">
        <f>O48</f>
        <v>0</v>
      </c>
      <c r="P47" s="365">
        <f>P48</f>
        <v>0</v>
      </c>
    </row>
    <row r="48" spans="1:16" ht="51">
      <c r="A48" s="263"/>
      <c r="B48" s="224"/>
      <c r="C48" s="266" t="s">
        <v>239</v>
      </c>
      <c r="D48" s="386" t="s">
        <v>240</v>
      </c>
      <c r="E48" s="226">
        <f>3100+13580</f>
        <v>16680</v>
      </c>
      <c r="F48" s="330">
        <f>E48</f>
        <v>16680</v>
      </c>
      <c r="G48" s="375">
        <f>I48+L48</f>
        <v>0</v>
      </c>
      <c r="H48" s="376">
        <f t="shared" si="2"/>
        <v>0</v>
      </c>
      <c r="I48" s="226">
        <f>J48+K48</f>
        <v>0</v>
      </c>
      <c r="J48" s="226"/>
      <c r="K48" s="226"/>
      <c r="L48" s="226">
        <f>SUM(M48:P48)</f>
        <v>0</v>
      </c>
      <c r="M48" s="226"/>
      <c r="N48" s="226"/>
      <c r="O48" s="226"/>
      <c r="P48" s="226"/>
    </row>
    <row r="49" spans="1:16" ht="9.75" customHeight="1">
      <c r="A49" s="87"/>
      <c r="B49" s="4"/>
      <c r="C49" s="80"/>
      <c r="D49" s="5"/>
      <c r="E49" s="96"/>
      <c r="F49" s="96"/>
      <c r="G49" s="380"/>
      <c r="H49" s="144"/>
      <c r="I49" s="96"/>
      <c r="J49" s="96"/>
      <c r="K49" s="96"/>
      <c r="L49" s="96"/>
      <c r="M49" s="96"/>
      <c r="N49" s="96"/>
      <c r="O49" s="96"/>
      <c r="P49" s="96"/>
    </row>
    <row r="50" spans="1:16" s="47" customFormat="1" ht="8.25">
      <c r="A50" s="88">
        <v>1</v>
      </c>
      <c r="B50" s="88">
        <v>2</v>
      </c>
      <c r="C50" s="88">
        <v>3</v>
      </c>
      <c r="D50" s="88">
        <v>4</v>
      </c>
      <c r="E50" s="88">
        <v>5</v>
      </c>
      <c r="F50" s="329">
        <v>6</v>
      </c>
      <c r="G50" s="379">
        <v>7</v>
      </c>
      <c r="H50" s="338">
        <v>8</v>
      </c>
      <c r="I50" s="88">
        <v>9</v>
      </c>
      <c r="J50" s="88">
        <v>10</v>
      </c>
      <c r="K50" s="88">
        <v>11</v>
      </c>
      <c r="L50" s="88">
        <v>12</v>
      </c>
      <c r="M50" s="88">
        <v>13</v>
      </c>
      <c r="N50" s="88">
        <v>14</v>
      </c>
      <c r="O50" s="88">
        <v>15</v>
      </c>
      <c r="P50" s="88">
        <v>16</v>
      </c>
    </row>
    <row r="51" spans="1:16" s="62" customFormat="1" ht="28.5" customHeight="1">
      <c r="A51" s="446"/>
      <c r="B51" s="447">
        <v>75109</v>
      </c>
      <c r="C51" s="447"/>
      <c r="D51" s="460" t="s">
        <v>278</v>
      </c>
      <c r="E51" s="365">
        <f>E52</f>
        <v>7690</v>
      </c>
      <c r="F51" s="366">
        <f>F52</f>
        <v>7690</v>
      </c>
      <c r="G51" s="360">
        <f>G52</f>
        <v>0</v>
      </c>
      <c r="H51" s="334">
        <f t="shared" si="2"/>
        <v>0</v>
      </c>
      <c r="I51" s="365">
        <f>I52</f>
        <v>0</v>
      </c>
      <c r="J51" s="365">
        <f>J52</f>
        <v>0</v>
      </c>
      <c r="K51" s="365"/>
      <c r="L51" s="365">
        <f>L52</f>
        <v>0</v>
      </c>
      <c r="M51" s="365">
        <f>M52</f>
        <v>0</v>
      </c>
      <c r="N51" s="365">
        <f>N52</f>
        <v>0</v>
      </c>
      <c r="O51" s="365">
        <f>O52</f>
        <v>0</v>
      </c>
      <c r="P51" s="365">
        <f>P52</f>
        <v>0</v>
      </c>
    </row>
    <row r="52" spans="1:16" ht="51">
      <c r="A52" s="68"/>
      <c r="B52" s="367"/>
      <c r="C52" s="368" t="s">
        <v>239</v>
      </c>
      <c r="D52" s="370" t="s">
        <v>240</v>
      </c>
      <c r="E52" s="102">
        <v>7690</v>
      </c>
      <c r="F52" s="327">
        <v>7690</v>
      </c>
      <c r="G52" s="356">
        <f>I52+L52</f>
        <v>0</v>
      </c>
      <c r="H52" s="336">
        <f t="shared" si="2"/>
        <v>0</v>
      </c>
      <c r="I52" s="241">
        <f>J52+K52</f>
        <v>0</v>
      </c>
      <c r="J52" s="241"/>
      <c r="K52" s="241"/>
      <c r="L52" s="102">
        <f>SUM(M52:P52)</f>
        <v>0</v>
      </c>
      <c r="M52" s="241"/>
      <c r="N52" s="241"/>
      <c r="O52" s="241"/>
      <c r="P52" s="241"/>
    </row>
    <row r="53" spans="1:16" s="63" customFormat="1" ht="24.75" customHeight="1">
      <c r="A53" s="454">
        <v>752</v>
      </c>
      <c r="B53" s="455"/>
      <c r="C53" s="452"/>
      <c r="D53" s="456" t="s">
        <v>243</v>
      </c>
      <c r="E53" s="341">
        <f aca="true" t="shared" si="15" ref="E53:G54">E54</f>
        <v>500</v>
      </c>
      <c r="F53" s="342">
        <f t="shared" si="15"/>
        <v>500</v>
      </c>
      <c r="G53" s="354">
        <f t="shared" si="15"/>
        <v>500</v>
      </c>
      <c r="H53" s="343">
        <f t="shared" si="2"/>
        <v>1</v>
      </c>
      <c r="I53" s="341">
        <f aca="true" t="shared" si="16" ref="I53:P54">I54</f>
        <v>0</v>
      </c>
      <c r="J53" s="341">
        <f t="shared" si="16"/>
        <v>0</v>
      </c>
      <c r="K53" s="341">
        <f t="shared" si="16"/>
        <v>0</v>
      </c>
      <c r="L53" s="341">
        <f t="shared" si="16"/>
        <v>500</v>
      </c>
      <c r="M53" s="341">
        <f t="shared" si="16"/>
        <v>0</v>
      </c>
      <c r="N53" s="341">
        <f t="shared" si="16"/>
        <v>0</v>
      </c>
      <c r="O53" s="341">
        <f t="shared" si="16"/>
        <v>500</v>
      </c>
      <c r="P53" s="341">
        <f t="shared" si="16"/>
        <v>0</v>
      </c>
    </row>
    <row r="54" spans="1:16" s="62" customFormat="1" ht="27" customHeight="1">
      <c r="A54" s="97"/>
      <c r="B54" s="447">
        <v>75212</v>
      </c>
      <c r="C54" s="447"/>
      <c r="D54" s="449" t="s">
        <v>244</v>
      </c>
      <c r="E54" s="365">
        <f t="shared" si="15"/>
        <v>500</v>
      </c>
      <c r="F54" s="365">
        <f t="shared" si="15"/>
        <v>500</v>
      </c>
      <c r="G54" s="360">
        <f t="shared" si="15"/>
        <v>500</v>
      </c>
      <c r="H54" s="334">
        <f t="shared" si="2"/>
        <v>1</v>
      </c>
      <c r="I54" s="365">
        <f>I55</f>
        <v>0</v>
      </c>
      <c r="J54" s="365">
        <f t="shared" si="16"/>
        <v>0</v>
      </c>
      <c r="K54" s="365">
        <f t="shared" si="16"/>
        <v>0</v>
      </c>
      <c r="L54" s="365">
        <f t="shared" si="16"/>
        <v>500</v>
      </c>
      <c r="M54" s="365">
        <f t="shared" si="16"/>
        <v>0</v>
      </c>
      <c r="N54" s="365">
        <f t="shared" si="16"/>
        <v>0</v>
      </c>
      <c r="O54" s="365">
        <f t="shared" si="16"/>
        <v>500</v>
      </c>
      <c r="P54" s="365">
        <f t="shared" si="16"/>
        <v>0</v>
      </c>
    </row>
    <row r="55" spans="1:16" ht="51">
      <c r="A55" s="66"/>
      <c r="B55" s="99"/>
      <c r="C55" s="100" t="s">
        <v>239</v>
      </c>
      <c r="D55" s="101" t="s">
        <v>240</v>
      </c>
      <c r="E55" s="102">
        <v>500</v>
      </c>
      <c r="F55" s="327">
        <f>E55</f>
        <v>500</v>
      </c>
      <c r="G55" s="356">
        <f>I55+L55</f>
        <v>500</v>
      </c>
      <c r="H55" s="335">
        <f t="shared" si="2"/>
        <v>1</v>
      </c>
      <c r="I55" s="102">
        <f>J55+K55</f>
        <v>0</v>
      </c>
      <c r="J55" s="102"/>
      <c r="K55" s="102"/>
      <c r="L55" s="102">
        <f>SUM(M55:P55)</f>
        <v>500</v>
      </c>
      <c r="M55" s="102"/>
      <c r="N55" s="102"/>
      <c r="O55" s="102">
        <v>500</v>
      </c>
      <c r="P55" s="102"/>
    </row>
    <row r="56" spans="1:16" s="63" customFormat="1" ht="54">
      <c r="A56" s="454">
        <v>754</v>
      </c>
      <c r="B56" s="455"/>
      <c r="C56" s="452"/>
      <c r="D56" s="456" t="s">
        <v>245</v>
      </c>
      <c r="E56" s="341">
        <f aca="true" t="shared" si="17" ref="E56:P57">E57</f>
        <v>700</v>
      </c>
      <c r="F56" s="342">
        <f t="shared" si="17"/>
        <v>700</v>
      </c>
      <c r="G56" s="354">
        <f t="shared" si="17"/>
        <v>1000</v>
      </c>
      <c r="H56" s="343">
        <f t="shared" si="2"/>
        <v>1.4285714285714286</v>
      </c>
      <c r="I56" s="341">
        <f t="shared" si="17"/>
        <v>0</v>
      </c>
      <c r="J56" s="341">
        <f t="shared" si="17"/>
        <v>0</v>
      </c>
      <c r="K56" s="341">
        <f t="shared" si="17"/>
        <v>0</v>
      </c>
      <c r="L56" s="341">
        <f t="shared" si="17"/>
        <v>1000</v>
      </c>
      <c r="M56" s="341">
        <f t="shared" si="17"/>
        <v>0</v>
      </c>
      <c r="N56" s="341">
        <f t="shared" si="17"/>
        <v>0</v>
      </c>
      <c r="O56" s="341">
        <f t="shared" si="17"/>
        <v>1000</v>
      </c>
      <c r="P56" s="341">
        <f t="shared" si="17"/>
        <v>0</v>
      </c>
    </row>
    <row r="57" spans="1:16" s="62" customFormat="1" ht="26.25" customHeight="1">
      <c r="A57" s="97"/>
      <c r="B57" s="447">
        <v>75414</v>
      </c>
      <c r="C57" s="447"/>
      <c r="D57" s="449" t="s">
        <v>246</v>
      </c>
      <c r="E57" s="365">
        <f>SUM(E58:E58)</f>
        <v>700</v>
      </c>
      <c r="F57" s="366">
        <f>SUM(F58:F58)</f>
        <v>700</v>
      </c>
      <c r="G57" s="360">
        <f>SUM(G58:G58)</f>
        <v>1000</v>
      </c>
      <c r="H57" s="334">
        <f t="shared" si="2"/>
        <v>1.4285714285714286</v>
      </c>
      <c r="I57" s="365">
        <f t="shared" si="17"/>
        <v>0</v>
      </c>
      <c r="J57" s="365">
        <f t="shared" si="17"/>
        <v>0</v>
      </c>
      <c r="K57" s="365">
        <f t="shared" si="17"/>
        <v>0</v>
      </c>
      <c r="L57" s="365">
        <f t="shared" si="17"/>
        <v>1000</v>
      </c>
      <c r="M57" s="365">
        <f t="shared" si="17"/>
        <v>0</v>
      </c>
      <c r="N57" s="365">
        <f t="shared" si="17"/>
        <v>0</v>
      </c>
      <c r="O57" s="365">
        <f t="shared" si="17"/>
        <v>1000</v>
      </c>
      <c r="P57" s="365">
        <f t="shared" si="17"/>
        <v>0</v>
      </c>
    </row>
    <row r="58" spans="1:16" ht="51">
      <c r="A58" s="263"/>
      <c r="B58" s="224"/>
      <c r="C58" s="266" t="s">
        <v>239</v>
      </c>
      <c r="D58" s="374" t="s">
        <v>240</v>
      </c>
      <c r="E58" s="226">
        <v>700</v>
      </c>
      <c r="F58" s="383">
        <v>700</v>
      </c>
      <c r="G58" s="354">
        <f>I58+L58</f>
        <v>1000</v>
      </c>
      <c r="H58" s="334">
        <f t="shared" si="2"/>
        <v>1.4285714285714286</v>
      </c>
      <c r="I58" s="115">
        <f>J58+K58</f>
        <v>0</v>
      </c>
      <c r="J58" s="226"/>
      <c r="K58" s="226"/>
      <c r="L58" s="226">
        <f>SUM(M58:P58)</f>
        <v>1000</v>
      </c>
      <c r="M58" s="226"/>
      <c r="N58" s="226"/>
      <c r="O58" s="226">
        <v>1000</v>
      </c>
      <c r="P58" s="226"/>
    </row>
    <row r="59" spans="1:16" s="63" customFormat="1" ht="99.75" customHeight="1">
      <c r="A59" s="452">
        <v>756</v>
      </c>
      <c r="B59" s="452"/>
      <c r="C59" s="452"/>
      <c r="D59" s="461" t="s">
        <v>39</v>
      </c>
      <c r="E59" s="341">
        <f>E60+E63+E73+E84+E88</f>
        <v>4589731</v>
      </c>
      <c r="F59" s="342">
        <f>F60+F63+F73+F84+F88</f>
        <v>4506180</v>
      </c>
      <c r="G59" s="354">
        <f>G60+G63+G73+G84+G88</f>
        <v>4807282</v>
      </c>
      <c r="H59" s="343">
        <f t="shared" si="2"/>
        <v>1.066819789711019</v>
      </c>
      <c r="I59" s="341">
        <f aca="true" t="shared" si="18" ref="I59:P59">I60+I63+I73+I84+I88</f>
        <v>0</v>
      </c>
      <c r="J59" s="341">
        <f t="shared" si="18"/>
        <v>0</v>
      </c>
      <c r="K59" s="341">
        <f t="shared" si="18"/>
        <v>0</v>
      </c>
      <c r="L59" s="341">
        <f t="shared" si="18"/>
        <v>4807282</v>
      </c>
      <c r="M59" s="341">
        <f t="shared" si="18"/>
        <v>2685457</v>
      </c>
      <c r="N59" s="341">
        <f t="shared" si="18"/>
        <v>0</v>
      </c>
      <c r="O59" s="341">
        <f t="shared" si="18"/>
        <v>0</v>
      </c>
      <c r="P59" s="341">
        <f t="shared" si="18"/>
        <v>2121825</v>
      </c>
    </row>
    <row r="60" spans="1:16" s="62" customFormat="1" ht="30">
      <c r="A60" s="97"/>
      <c r="B60" s="447">
        <v>75601</v>
      </c>
      <c r="C60" s="447"/>
      <c r="D60" s="449" t="s">
        <v>198</v>
      </c>
      <c r="E60" s="365">
        <f>SUM(E61:E62)</f>
        <v>7900</v>
      </c>
      <c r="F60" s="366">
        <f>SUM(F61:F62)</f>
        <v>7900</v>
      </c>
      <c r="G60" s="360">
        <f aca="true" t="shared" si="19" ref="G60:P60">G61</f>
        <v>7500</v>
      </c>
      <c r="H60" s="334">
        <f t="shared" si="2"/>
        <v>0.9493670886075949</v>
      </c>
      <c r="I60" s="365">
        <f t="shared" si="19"/>
        <v>0</v>
      </c>
      <c r="J60" s="365">
        <f t="shared" si="19"/>
        <v>0</v>
      </c>
      <c r="K60" s="365">
        <f t="shared" si="19"/>
        <v>0</v>
      </c>
      <c r="L60" s="365">
        <f t="shared" si="19"/>
        <v>7500</v>
      </c>
      <c r="M60" s="365">
        <f t="shared" si="19"/>
        <v>7500</v>
      </c>
      <c r="N60" s="365">
        <f t="shared" si="19"/>
        <v>0</v>
      </c>
      <c r="O60" s="365">
        <f t="shared" si="19"/>
        <v>0</v>
      </c>
      <c r="P60" s="365">
        <f t="shared" si="19"/>
        <v>0</v>
      </c>
    </row>
    <row r="61" spans="1:16" ht="27.75" customHeight="1">
      <c r="A61" s="68"/>
      <c r="B61" s="367"/>
      <c r="C61" s="100" t="s">
        <v>199</v>
      </c>
      <c r="D61" s="371" t="s">
        <v>200</v>
      </c>
      <c r="E61" s="241">
        <v>7500</v>
      </c>
      <c r="F61" s="332">
        <f>E61</f>
        <v>7500</v>
      </c>
      <c r="G61" s="356">
        <f>I61+L61</f>
        <v>7500</v>
      </c>
      <c r="H61" s="335">
        <f t="shared" si="2"/>
        <v>1</v>
      </c>
      <c r="I61" s="241">
        <f>J61+K61</f>
        <v>0</v>
      </c>
      <c r="J61" s="241"/>
      <c r="K61" s="241"/>
      <c r="L61" s="241">
        <f>SUM(M61:P61)</f>
        <v>7500</v>
      </c>
      <c r="M61" s="241">
        <v>7500</v>
      </c>
      <c r="N61" s="241"/>
      <c r="O61" s="241"/>
      <c r="P61" s="241"/>
    </row>
    <row r="62" spans="1:16" ht="25.5">
      <c r="A62" s="66"/>
      <c r="B62" s="73"/>
      <c r="C62" s="76" t="s">
        <v>207</v>
      </c>
      <c r="D62" s="60" t="s">
        <v>213</v>
      </c>
      <c r="E62" s="83">
        <v>400</v>
      </c>
      <c r="F62" s="331">
        <f>E62</f>
        <v>400</v>
      </c>
      <c r="G62" s="359">
        <f>I62+L62</f>
        <v>0</v>
      </c>
      <c r="H62" s="377">
        <f t="shared" si="2"/>
        <v>0</v>
      </c>
      <c r="I62" s="83">
        <f>J62+K62</f>
        <v>0</v>
      </c>
      <c r="J62" s="83"/>
      <c r="K62" s="83"/>
      <c r="L62" s="83">
        <f>SUM(M62:P62)</f>
        <v>0</v>
      </c>
      <c r="M62" s="83"/>
      <c r="N62" s="83"/>
      <c r="O62" s="83"/>
      <c r="P62" s="83"/>
    </row>
    <row r="63" spans="1:16" s="62" customFormat="1" ht="75">
      <c r="A63" s="67"/>
      <c r="B63" s="447">
        <v>75615</v>
      </c>
      <c r="C63" s="448"/>
      <c r="D63" s="453" t="s">
        <v>201</v>
      </c>
      <c r="E63" s="365">
        <f aca="true" t="shared" si="20" ref="E63:P63">SUM(E64:E70)</f>
        <v>1434770</v>
      </c>
      <c r="F63" s="366">
        <f>SUM(F64:F70)</f>
        <v>1325192</v>
      </c>
      <c r="G63" s="360">
        <f t="shared" si="20"/>
        <v>1429837</v>
      </c>
      <c r="H63" s="334">
        <f t="shared" si="2"/>
        <v>1.078965915882378</v>
      </c>
      <c r="I63" s="365">
        <f t="shared" si="20"/>
        <v>0</v>
      </c>
      <c r="J63" s="365">
        <f t="shared" si="20"/>
        <v>0</v>
      </c>
      <c r="K63" s="365">
        <f t="shared" si="20"/>
        <v>0</v>
      </c>
      <c r="L63" s="365">
        <f t="shared" si="20"/>
        <v>1429837</v>
      </c>
      <c r="M63" s="365">
        <f t="shared" si="20"/>
        <v>1429837</v>
      </c>
      <c r="N63" s="365">
        <f t="shared" si="20"/>
        <v>0</v>
      </c>
      <c r="O63" s="365">
        <f>SUM(O64:O70)</f>
        <v>0</v>
      </c>
      <c r="P63" s="365">
        <f t="shared" si="20"/>
        <v>0</v>
      </c>
    </row>
    <row r="64" spans="1:16" ht="20.25" customHeight="1">
      <c r="A64" s="68"/>
      <c r="B64" s="367"/>
      <c r="C64" s="100" t="s">
        <v>202</v>
      </c>
      <c r="D64" s="362" t="s">
        <v>208</v>
      </c>
      <c r="E64" s="241">
        <v>1325590</v>
      </c>
      <c r="F64" s="332">
        <v>1218990</v>
      </c>
      <c r="G64" s="356">
        <f aca="true" t="shared" si="21" ref="G64:G70">I64+L64</f>
        <v>1325590</v>
      </c>
      <c r="H64" s="335">
        <f t="shared" si="2"/>
        <v>1.0874494458527142</v>
      </c>
      <c r="I64" s="241">
        <f aca="true" t="shared" si="22" ref="I64:I70">J64+K64</f>
        <v>0</v>
      </c>
      <c r="J64" s="241"/>
      <c r="K64" s="241"/>
      <c r="L64" s="241">
        <f aca="true" t="shared" si="23" ref="L64:L70">SUM(M64:P64)</f>
        <v>1325590</v>
      </c>
      <c r="M64" s="241">
        <v>1325590</v>
      </c>
      <c r="N64" s="241"/>
      <c r="O64" s="241"/>
      <c r="P64" s="241"/>
    </row>
    <row r="65" spans="1:16" ht="20.25" customHeight="1">
      <c r="A65" s="66"/>
      <c r="B65" s="30"/>
      <c r="C65" s="75" t="s">
        <v>203</v>
      </c>
      <c r="D65" s="20" t="s">
        <v>209</v>
      </c>
      <c r="E65" s="83">
        <v>53000</v>
      </c>
      <c r="F65" s="331">
        <v>50500</v>
      </c>
      <c r="G65" s="355">
        <f>I65+L65</f>
        <v>50500</v>
      </c>
      <c r="H65" s="335">
        <f t="shared" si="2"/>
        <v>1</v>
      </c>
      <c r="I65" s="83">
        <f t="shared" si="22"/>
        <v>0</v>
      </c>
      <c r="J65" s="84"/>
      <c r="K65" s="84"/>
      <c r="L65" s="83">
        <f t="shared" si="23"/>
        <v>50500</v>
      </c>
      <c r="M65" s="84">
        <v>50500</v>
      </c>
      <c r="N65" s="84"/>
      <c r="O65" s="84"/>
      <c r="P65" s="84"/>
    </row>
    <row r="66" spans="1:16" ht="20.25" customHeight="1">
      <c r="A66" s="68"/>
      <c r="B66" s="73"/>
      <c r="C66" s="75" t="s">
        <v>204</v>
      </c>
      <c r="D66" s="46" t="s">
        <v>210</v>
      </c>
      <c r="E66" s="83">
        <v>9800</v>
      </c>
      <c r="F66" s="331">
        <v>9909</v>
      </c>
      <c r="G66" s="355">
        <f t="shared" si="21"/>
        <v>9909</v>
      </c>
      <c r="H66" s="335">
        <f t="shared" si="2"/>
        <v>1</v>
      </c>
      <c r="I66" s="83">
        <f t="shared" si="22"/>
        <v>0</v>
      </c>
      <c r="J66" s="83"/>
      <c r="K66" s="83"/>
      <c r="L66" s="83">
        <f t="shared" si="23"/>
        <v>9909</v>
      </c>
      <c r="M66" s="83">
        <v>9909</v>
      </c>
      <c r="N66" s="83"/>
      <c r="O66" s="83"/>
      <c r="P66" s="83"/>
    </row>
    <row r="67" spans="1:16" ht="20.25" customHeight="1">
      <c r="A67" s="66"/>
      <c r="B67" s="30"/>
      <c r="C67" s="75" t="s">
        <v>205</v>
      </c>
      <c r="D67" s="20" t="s">
        <v>211</v>
      </c>
      <c r="E67" s="83">
        <v>11230</v>
      </c>
      <c r="F67" s="331">
        <v>8303</v>
      </c>
      <c r="G67" s="355">
        <f t="shared" si="21"/>
        <v>7688</v>
      </c>
      <c r="H67" s="335">
        <f t="shared" si="2"/>
        <v>0.9259303866072504</v>
      </c>
      <c r="I67" s="83">
        <f t="shared" si="22"/>
        <v>0</v>
      </c>
      <c r="J67" s="84"/>
      <c r="K67" s="84"/>
      <c r="L67" s="83">
        <f t="shared" si="23"/>
        <v>7688</v>
      </c>
      <c r="M67" s="84">
        <v>7688</v>
      </c>
      <c r="N67" s="84"/>
      <c r="O67" s="84"/>
      <c r="P67" s="84"/>
    </row>
    <row r="68" spans="1:16" ht="20.25" customHeight="1">
      <c r="A68" s="66"/>
      <c r="B68" s="30"/>
      <c r="C68" s="75" t="s">
        <v>206</v>
      </c>
      <c r="D68" s="20" t="s">
        <v>212</v>
      </c>
      <c r="E68" s="83">
        <v>10000</v>
      </c>
      <c r="F68" s="331">
        <v>12358</v>
      </c>
      <c r="G68" s="355">
        <f t="shared" si="21"/>
        <v>12000</v>
      </c>
      <c r="H68" s="335">
        <f t="shared" si="2"/>
        <v>0.9710309111506716</v>
      </c>
      <c r="I68" s="83">
        <f t="shared" si="22"/>
        <v>0</v>
      </c>
      <c r="J68" s="84"/>
      <c r="K68" s="84"/>
      <c r="L68" s="83">
        <f t="shared" si="23"/>
        <v>12000</v>
      </c>
      <c r="M68" s="84">
        <v>12000</v>
      </c>
      <c r="N68" s="84"/>
      <c r="O68" s="84"/>
      <c r="P68" s="84"/>
    </row>
    <row r="69" spans="1:16" ht="20.25" customHeight="1">
      <c r="A69" s="66"/>
      <c r="B69" s="30"/>
      <c r="C69" s="75" t="s">
        <v>188</v>
      </c>
      <c r="D69" s="20" t="s">
        <v>189</v>
      </c>
      <c r="E69" s="83">
        <v>150</v>
      </c>
      <c r="F69" s="331">
        <v>132</v>
      </c>
      <c r="G69" s="355">
        <f t="shared" si="21"/>
        <v>150</v>
      </c>
      <c r="H69" s="335">
        <f t="shared" si="2"/>
        <v>1.1363636363636365</v>
      </c>
      <c r="I69" s="83">
        <f t="shared" si="22"/>
        <v>0</v>
      </c>
      <c r="J69" s="84"/>
      <c r="K69" s="84"/>
      <c r="L69" s="83">
        <f t="shared" si="23"/>
        <v>150</v>
      </c>
      <c r="M69" s="84">
        <v>150</v>
      </c>
      <c r="N69" s="84"/>
      <c r="O69" s="84"/>
      <c r="P69" s="84"/>
    </row>
    <row r="70" spans="1:16" ht="25.5">
      <c r="A70" s="263"/>
      <c r="B70" s="267"/>
      <c r="C70" s="264" t="s">
        <v>207</v>
      </c>
      <c r="D70" s="546" t="s">
        <v>213</v>
      </c>
      <c r="E70" s="114">
        <v>25000</v>
      </c>
      <c r="F70" s="328">
        <f>E70</f>
        <v>25000</v>
      </c>
      <c r="G70" s="357">
        <f t="shared" si="21"/>
        <v>24000</v>
      </c>
      <c r="H70" s="337">
        <f aca="true" t="shared" si="24" ref="H70:H132">G70/F70</f>
        <v>0.96</v>
      </c>
      <c r="I70" s="114">
        <f t="shared" si="22"/>
        <v>0</v>
      </c>
      <c r="J70" s="114"/>
      <c r="K70" s="114"/>
      <c r="L70" s="114">
        <f t="shared" si="23"/>
        <v>24000</v>
      </c>
      <c r="M70" s="114">
        <v>24000</v>
      </c>
      <c r="N70" s="114"/>
      <c r="O70" s="114"/>
      <c r="P70" s="114"/>
    </row>
    <row r="71" spans="1:16" ht="9.75" customHeight="1">
      <c r="A71" s="87"/>
      <c r="B71" s="4"/>
      <c r="C71" s="80"/>
      <c r="D71" s="5"/>
      <c r="E71" s="96"/>
      <c r="F71" s="96"/>
      <c r="G71" s="380"/>
      <c r="H71" s="144"/>
      <c r="I71" s="96"/>
      <c r="J71" s="96"/>
      <c r="K71" s="96"/>
      <c r="L71" s="96"/>
      <c r="M71" s="96"/>
      <c r="N71" s="96"/>
      <c r="O71" s="96"/>
      <c r="P71" s="96"/>
    </row>
    <row r="72" spans="1:16" s="47" customFormat="1" ht="8.25">
      <c r="A72" s="88">
        <v>1</v>
      </c>
      <c r="B72" s="88">
        <v>2</v>
      </c>
      <c r="C72" s="88">
        <v>3</v>
      </c>
      <c r="D72" s="88">
        <v>4</v>
      </c>
      <c r="E72" s="88">
        <v>5</v>
      </c>
      <c r="F72" s="329">
        <v>6</v>
      </c>
      <c r="G72" s="379">
        <v>7</v>
      </c>
      <c r="H72" s="338">
        <v>8</v>
      </c>
      <c r="I72" s="88">
        <v>9</v>
      </c>
      <c r="J72" s="88">
        <v>10</v>
      </c>
      <c r="K72" s="88">
        <v>11</v>
      </c>
      <c r="L72" s="88">
        <v>12</v>
      </c>
      <c r="M72" s="88">
        <v>13</v>
      </c>
      <c r="N72" s="88">
        <v>14</v>
      </c>
      <c r="O72" s="88">
        <v>15</v>
      </c>
      <c r="P72" s="88">
        <v>16</v>
      </c>
    </row>
    <row r="73" spans="1:16" s="62" customFormat="1" ht="75">
      <c r="A73" s="220"/>
      <c r="B73" s="540">
        <v>75616</v>
      </c>
      <c r="C73" s="541"/>
      <c r="D73" s="542" t="s">
        <v>214</v>
      </c>
      <c r="E73" s="543">
        <f aca="true" t="shared" si="25" ref="E73:P73">SUM(E74:E83)</f>
        <v>1235493</v>
      </c>
      <c r="F73" s="544">
        <f>SUM(F74:F83)</f>
        <v>1264620</v>
      </c>
      <c r="G73" s="545">
        <f t="shared" si="25"/>
        <v>1272820</v>
      </c>
      <c r="H73" s="376">
        <f t="shared" si="24"/>
        <v>1.0064841612500197</v>
      </c>
      <c r="I73" s="543">
        <f t="shared" si="25"/>
        <v>0</v>
      </c>
      <c r="J73" s="543">
        <f t="shared" si="25"/>
        <v>0</v>
      </c>
      <c r="K73" s="543">
        <f t="shared" si="25"/>
        <v>0</v>
      </c>
      <c r="L73" s="543">
        <f t="shared" si="25"/>
        <v>1272820</v>
      </c>
      <c r="M73" s="543">
        <f t="shared" si="25"/>
        <v>1149820</v>
      </c>
      <c r="N73" s="543">
        <f t="shared" si="25"/>
        <v>0</v>
      </c>
      <c r="O73" s="543">
        <f>SUM(O74:O83)</f>
        <v>0</v>
      </c>
      <c r="P73" s="543">
        <f t="shared" si="25"/>
        <v>123000</v>
      </c>
    </row>
    <row r="74" spans="1:16" ht="21" customHeight="1">
      <c r="A74" s="66"/>
      <c r="B74" s="99"/>
      <c r="C74" s="100" t="s">
        <v>202</v>
      </c>
      <c r="D74" s="362" t="s">
        <v>208</v>
      </c>
      <c r="E74" s="241">
        <v>531548</v>
      </c>
      <c r="F74" s="332">
        <v>478979</v>
      </c>
      <c r="G74" s="356">
        <f aca="true" t="shared" si="26" ref="G74:G83">I74+L74</f>
        <v>508979</v>
      </c>
      <c r="H74" s="335">
        <f t="shared" si="24"/>
        <v>1.0626332260913318</v>
      </c>
      <c r="I74" s="241">
        <f aca="true" t="shared" si="27" ref="I74:I83">J74+K74</f>
        <v>0</v>
      </c>
      <c r="J74" s="102"/>
      <c r="K74" s="102"/>
      <c r="L74" s="241">
        <f aca="true" t="shared" si="28" ref="L74:L83">SUM(M74:P74)</f>
        <v>508979</v>
      </c>
      <c r="M74" s="102">
        <v>508979</v>
      </c>
      <c r="N74" s="102"/>
      <c r="O74" s="102"/>
      <c r="P74" s="102"/>
    </row>
    <row r="75" spans="1:16" ht="21" customHeight="1">
      <c r="A75" s="68"/>
      <c r="B75" s="73"/>
      <c r="C75" s="75" t="s">
        <v>203</v>
      </c>
      <c r="D75" s="20" t="s">
        <v>209</v>
      </c>
      <c r="E75" s="83">
        <v>386706</v>
      </c>
      <c r="F75" s="331">
        <v>440846</v>
      </c>
      <c r="G75" s="355">
        <f t="shared" si="26"/>
        <v>440846</v>
      </c>
      <c r="H75" s="335">
        <f t="shared" si="24"/>
        <v>1</v>
      </c>
      <c r="I75" s="83">
        <f t="shared" si="27"/>
        <v>0</v>
      </c>
      <c r="J75" s="83"/>
      <c r="K75" s="83"/>
      <c r="L75" s="83">
        <f t="shared" si="28"/>
        <v>440846</v>
      </c>
      <c r="M75" s="83">
        <v>440846</v>
      </c>
      <c r="N75" s="83"/>
      <c r="O75" s="83"/>
      <c r="P75" s="83"/>
    </row>
    <row r="76" spans="1:16" ht="21" customHeight="1">
      <c r="A76" s="66"/>
      <c r="B76" s="30"/>
      <c r="C76" s="75" t="s">
        <v>204</v>
      </c>
      <c r="D76" s="46" t="s">
        <v>210</v>
      </c>
      <c r="E76" s="83">
        <v>1349</v>
      </c>
      <c r="F76" s="331">
        <v>1405</v>
      </c>
      <c r="G76" s="355">
        <f t="shared" si="26"/>
        <v>1405</v>
      </c>
      <c r="H76" s="335">
        <f t="shared" si="24"/>
        <v>1</v>
      </c>
      <c r="I76" s="83">
        <f t="shared" si="27"/>
        <v>0</v>
      </c>
      <c r="J76" s="84"/>
      <c r="K76" s="84"/>
      <c r="L76" s="83">
        <f t="shared" si="28"/>
        <v>1405</v>
      </c>
      <c r="M76" s="84">
        <v>1405</v>
      </c>
      <c r="N76" s="84"/>
      <c r="O76" s="84"/>
      <c r="P76" s="84"/>
    </row>
    <row r="77" spans="1:16" ht="21" customHeight="1">
      <c r="A77" s="66"/>
      <c r="B77" s="30"/>
      <c r="C77" s="75" t="s">
        <v>205</v>
      </c>
      <c r="D77" s="20" t="s">
        <v>211</v>
      </c>
      <c r="E77" s="83">
        <v>180000</v>
      </c>
      <c r="F77" s="331">
        <v>187000</v>
      </c>
      <c r="G77" s="355">
        <f t="shared" si="26"/>
        <v>165000</v>
      </c>
      <c r="H77" s="335">
        <f t="shared" si="24"/>
        <v>0.8823529411764706</v>
      </c>
      <c r="I77" s="83">
        <f t="shared" si="27"/>
        <v>0</v>
      </c>
      <c r="J77" s="84"/>
      <c r="K77" s="84"/>
      <c r="L77" s="83">
        <f t="shared" si="28"/>
        <v>165000</v>
      </c>
      <c r="M77" s="84">
        <v>165000</v>
      </c>
      <c r="N77" s="84"/>
      <c r="O77" s="84"/>
      <c r="P77" s="84"/>
    </row>
    <row r="78" spans="1:16" ht="21" customHeight="1">
      <c r="A78" s="66"/>
      <c r="B78" s="30"/>
      <c r="C78" s="75" t="s">
        <v>215</v>
      </c>
      <c r="D78" s="20" t="s">
        <v>216</v>
      </c>
      <c r="E78" s="83">
        <v>3300</v>
      </c>
      <c r="F78" s="331">
        <f>E78</f>
        <v>3300</v>
      </c>
      <c r="G78" s="355">
        <f t="shared" si="26"/>
        <v>3000</v>
      </c>
      <c r="H78" s="335">
        <f t="shared" si="24"/>
        <v>0.9090909090909091</v>
      </c>
      <c r="I78" s="83">
        <f t="shared" si="27"/>
        <v>0</v>
      </c>
      <c r="J78" s="84"/>
      <c r="K78" s="84"/>
      <c r="L78" s="83">
        <f t="shared" si="28"/>
        <v>3000</v>
      </c>
      <c r="M78" s="84"/>
      <c r="N78" s="84"/>
      <c r="O78" s="84"/>
      <c r="P78" s="84">
        <v>3000</v>
      </c>
    </row>
    <row r="79" spans="1:16" ht="21" customHeight="1">
      <c r="A79" s="66"/>
      <c r="B79" s="30"/>
      <c r="C79" s="75" t="s">
        <v>541</v>
      </c>
      <c r="D79" s="20" t="s">
        <v>555</v>
      </c>
      <c r="E79" s="83">
        <v>90</v>
      </c>
      <c r="F79" s="331">
        <v>90</v>
      </c>
      <c r="G79" s="355">
        <f t="shared" si="26"/>
        <v>90</v>
      </c>
      <c r="H79" s="335">
        <f t="shared" si="24"/>
        <v>1</v>
      </c>
      <c r="I79" s="83">
        <f t="shared" si="27"/>
        <v>0</v>
      </c>
      <c r="J79" s="84"/>
      <c r="K79" s="84"/>
      <c r="L79" s="83">
        <f t="shared" si="28"/>
        <v>90</v>
      </c>
      <c r="M79" s="84">
        <v>90</v>
      </c>
      <c r="N79" s="84"/>
      <c r="O79" s="84"/>
      <c r="P79" s="84"/>
    </row>
    <row r="80" spans="1:16" ht="21" customHeight="1">
      <c r="A80" s="98"/>
      <c r="B80" s="99"/>
      <c r="C80" s="75" t="s">
        <v>217</v>
      </c>
      <c r="D80" s="101" t="s">
        <v>540</v>
      </c>
      <c r="E80" s="83">
        <v>2500</v>
      </c>
      <c r="F80" s="331">
        <f>E80</f>
        <v>2500</v>
      </c>
      <c r="G80" s="355">
        <f t="shared" si="26"/>
        <v>2500</v>
      </c>
      <c r="H80" s="335">
        <f t="shared" si="24"/>
        <v>1</v>
      </c>
      <c r="I80" s="83">
        <f t="shared" si="27"/>
        <v>0</v>
      </c>
      <c r="J80" s="102"/>
      <c r="K80" s="102"/>
      <c r="L80" s="83">
        <f t="shared" si="28"/>
        <v>2500</v>
      </c>
      <c r="M80" s="102">
        <v>2500</v>
      </c>
      <c r="N80" s="102"/>
      <c r="O80" s="102"/>
      <c r="P80" s="102"/>
    </row>
    <row r="81" spans="1:16" ht="21" customHeight="1">
      <c r="A81" s="66"/>
      <c r="B81" s="30"/>
      <c r="C81" s="75" t="s">
        <v>206</v>
      </c>
      <c r="D81" s="20" t="s">
        <v>212</v>
      </c>
      <c r="E81" s="83">
        <v>105000</v>
      </c>
      <c r="F81" s="331">
        <v>120000</v>
      </c>
      <c r="G81" s="355">
        <f t="shared" si="26"/>
        <v>120000</v>
      </c>
      <c r="H81" s="335">
        <f t="shared" si="24"/>
        <v>1</v>
      </c>
      <c r="I81" s="83">
        <f t="shared" si="27"/>
        <v>0</v>
      </c>
      <c r="J81" s="84"/>
      <c r="K81" s="84"/>
      <c r="L81" s="83">
        <f t="shared" si="28"/>
        <v>120000</v>
      </c>
      <c r="M81" s="84"/>
      <c r="N81" s="84"/>
      <c r="O81" s="84"/>
      <c r="P81" s="84">
        <v>120000</v>
      </c>
    </row>
    <row r="82" spans="1:16" ht="21" customHeight="1">
      <c r="A82" s="66"/>
      <c r="B82" s="30"/>
      <c r="C82" s="75" t="s">
        <v>188</v>
      </c>
      <c r="D82" s="20" t="s">
        <v>189</v>
      </c>
      <c r="E82" s="83">
        <v>6000</v>
      </c>
      <c r="F82" s="331">
        <v>6940</v>
      </c>
      <c r="G82" s="355">
        <f t="shared" si="26"/>
        <v>7000</v>
      </c>
      <c r="H82" s="335">
        <f t="shared" si="24"/>
        <v>1.0086455331412103</v>
      </c>
      <c r="I82" s="83">
        <f t="shared" si="27"/>
        <v>0</v>
      </c>
      <c r="J82" s="84"/>
      <c r="K82" s="84"/>
      <c r="L82" s="83">
        <f t="shared" si="28"/>
        <v>7000</v>
      </c>
      <c r="M82" s="84">
        <v>7000</v>
      </c>
      <c r="N82" s="84"/>
      <c r="O82" s="84"/>
      <c r="P82" s="84"/>
    </row>
    <row r="83" spans="1:16" ht="25.5">
      <c r="A83" s="66"/>
      <c r="B83" s="73"/>
      <c r="C83" s="76" t="s">
        <v>207</v>
      </c>
      <c r="D83" s="60" t="s">
        <v>213</v>
      </c>
      <c r="E83" s="83">
        <v>19000</v>
      </c>
      <c r="F83" s="331">
        <v>23560</v>
      </c>
      <c r="G83" s="359">
        <f t="shared" si="26"/>
        <v>24000</v>
      </c>
      <c r="H83" s="377">
        <f t="shared" si="24"/>
        <v>1.0186757215619695</v>
      </c>
      <c r="I83" s="83">
        <f t="shared" si="27"/>
        <v>0</v>
      </c>
      <c r="J83" s="83"/>
      <c r="K83" s="83"/>
      <c r="L83" s="83">
        <f t="shared" si="28"/>
        <v>24000</v>
      </c>
      <c r="M83" s="83">
        <v>24000</v>
      </c>
      <c r="N83" s="83"/>
      <c r="O83" s="83"/>
      <c r="P83" s="83"/>
    </row>
    <row r="84" spans="1:16" s="62" customFormat="1" ht="45">
      <c r="A84" s="67"/>
      <c r="B84" s="447">
        <v>75618</v>
      </c>
      <c r="C84" s="448"/>
      <c r="D84" s="449" t="s">
        <v>219</v>
      </c>
      <c r="E84" s="365">
        <f aca="true" t="shared" si="29" ref="E84:P84">SUM(E85:E87)</f>
        <v>100000</v>
      </c>
      <c r="F84" s="366">
        <f>SUM(F85:F87)</f>
        <v>92700</v>
      </c>
      <c r="G84" s="360">
        <f t="shared" si="29"/>
        <v>98300</v>
      </c>
      <c r="H84" s="334">
        <f t="shared" si="24"/>
        <v>1.0604099244875944</v>
      </c>
      <c r="I84" s="365">
        <f t="shared" si="29"/>
        <v>0</v>
      </c>
      <c r="J84" s="365">
        <f t="shared" si="29"/>
        <v>0</v>
      </c>
      <c r="K84" s="365">
        <f t="shared" si="29"/>
        <v>0</v>
      </c>
      <c r="L84" s="365">
        <f t="shared" si="29"/>
        <v>98300</v>
      </c>
      <c r="M84" s="365">
        <f t="shared" si="29"/>
        <v>98300</v>
      </c>
      <c r="N84" s="365">
        <f t="shared" si="29"/>
        <v>0</v>
      </c>
      <c r="O84" s="365">
        <f>SUM(O85:O87)</f>
        <v>0</v>
      </c>
      <c r="P84" s="365">
        <f t="shared" si="29"/>
        <v>0</v>
      </c>
    </row>
    <row r="85" spans="1:16" ht="21" customHeight="1">
      <c r="A85" s="68"/>
      <c r="B85" s="367"/>
      <c r="C85" s="100" t="s">
        <v>220</v>
      </c>
      <c r="D85" s="362" t="s">
        <v>218</v>
      </c>
      <c r="E85" s="241">
        <v>28000</v>
      </c>
      <c r="F85" s="332">
        <v>28000</v>
      </c>
      <c r="G85" s="356">
        <f>I85+L85</f>
        <v>30000</v>
      </c>
      <c r="H85" s="335">
        <f t="shared" si="24"/>
        <v>1.0714285714285714</v>
      </c>
      <c r="I85" s="241">
        <f>J85+K85</f>
        <v>0</v>
      </c>
      <c r="J85" s="241"/>
      <c r="K85" s="241"/>
      <c r="L85" s="241">
        <f>SUM(M85:P85)</f>
        <v>30000</v>
      </c>
      <c r="M85" s="241">
        <v>30000</v>
      </c>
      <c r="N85" s="241"/>
      <c r="O85" s="241"/>
      <c r="P85" s="241"/>
    </row>
    <row r="86" spans="1:16" ht="21" customHeight="1">
      <c r="A86" s="66"/>
      <c r="B86" s="30"/>
      <c r="C86" s="75" t="s">
        <v>221</v>
      </c>
      <c r="D86" s="20" t="s">
        <v>222</v>
      </c>
      <c r="E86" s="84">
        <v>68000</v>
      </c>
      <c r="F86" s="326">
        <v>60200</v>
      </c>
      <c r="G86" s="355">
        <f>I86+L86</f>
        <v>63300</v>
      </c>
      <c r="H86" s="335">
        <f t="shared" si="24"/>
        <v>1.0514950166112957</v>
      </c>
      <c r="I86" s="84">
        <f>J86+K86</f>
        <v>0</v>
      </c>
      <c r="J86" s="84"/>
      <c r="K86" s="84"/>
      <c r="L86" s="83">
        <f>SUM(M86:P86)</f>
        <v>63300</v>
      </c>
      <c r="M86" s="84">
        <v>63300</v>
      </c>
      <c r="N86" s="84"/>
      <c r="O86" s="84"/>
      <c r="P86" s="84"/>
    </row>
    <row r="87" spans="1:16" ht="38.25">
      <c r="A87" s="66"/>
      <c r="B87" s="73"/>
      <c r="C87" s="76" t="s">
        <v>483</v>
      </c>
      <c r="D87" s="60" t="s">
        <v>484</v>
      </c>
      <c r="E87" s="83">
        <v>4000</v>
      </c>
      <c r="F87" s="331">
        <v>4500</v>
      </c>
      <c r="G87" s="359">
        <f>I87+L87</f>
        <v>5000</v>
      </c>
      <c r="H87" s="336">
        <f t="shared" si="24"/>
        <v>1.1111111111111112</v>
      </c>
      <c r="I87" s="83">
        <f>J87+K87</f>
        <v>0</v>
      </c>
      <c r="J87" s="83"/>
      <c r="K87" s="83"/>
      <c r="L87" s="83">
        <f aca="true" t="shared" si="30" ref="L87:L99">SUM(M87:P87)</f>
        <v>5000</v>
      </c>
      <c r="M87" s="83">
        <v>5000</v>
      </c>
      <c r="N87" s="83"/>
      <c r="O87" s="83"/>
      <c r="P87" s="83"/>
    </row>
    <row r="88" spans="1:16" s="62" customFormat="1" ht="30">
      <c r="A88" s="220"/>
      <c r="B88" s="447">
        <v>75621</v>
      </c>
      <c r="C88" s="448"/>
      <c r="D88" s="449" t="s">
        <v>223</v>
      </c>
      <c r="E88" s="365">
        <f aca="true" t="shared" si="31" ref="E88:P88">SUM(E89:E90)</f>
        <v>1811568</v>
      </c>
      <c r="F88" s="366">
        <f>SUM(F89:F90)</f>
        <v>1815768</v>
      </c>
      <c r="G88" s="360">
        <f t="shared" si="31"/>
        <v>1998825</v>
      </c>
      <c r="H88" s="334">
        <f t="shared" si="24"/>
        <v>1.10081519224923</v>
      </c>
      <c r="I88" s="365">
        <f t="shared" si="31"/>
        <v>0</v>
      </c>
      <c r="J88" s="365">
        <f t="shared" si="31"/>
        <v>0</v>
      </c>
      <c r="K88" s="365">
        <f t="shared" si="31"/>
        <v>0</v>
      </c>
      <c r="L88" s="115">
        <f t="shared" si="30"/>
        <v>1998825</v>
      </c>
      <c r="M88" s="365">
        <f t="shared" si="31"/>
        <v>0</v>
      </c>
      <c r="N88" s="365">
        <f t="shared" si="31"/>
        <v>0</v>
      </c>
      <c r="O88" s="365">
        <f>SUM(O89:O90)</f>
        <v>0</v>
      </c>
      <c r="P88" s="365">
        <f t="shared" si="31"/>
        <v>1998825</v>
      </c>
    </row>
    <row r="89" spans="1:16" ht="21" customHeight="1">
      <c r="A89" s="66"/>
      <c r="B89" s="99"/>
      <c r="C89" s="100" t="s">
        <v>551</v>
      </c>
      <c r="D89" s="121" t="s">
        <v>224</v>
      </c>
      <c r="E89" s="102">
        <v>1793568</v>
      </c>
      <c r="F89" s="327">
        <f>E89</f>
        <v>1793568</v>
      </c>
      <c r="G89" s="356">
        <f>I89+L89</f>
        <v>1978825</v>
      </c>
      <c r="H89" s="335">
        <f t="shared" si="24"/>
        <v>1.1032896438830309</v>
      </c>
      <c r="I89" s="241">
        <f>J89+K89</f>
        <v>0</v>
      </c>
      <c r="J89" s="102"/>
      <c r="K89" s="102"/>
      <c r="L89" s="241">
        <f t="shared" si="30"/>
        <v>1978825</v>
      </c>
      <c r="M89" s="102"/>
      <c r="N89" s="102"/>
      <c r="O89" s="102"/>
      <c r="P89" s="378">
        <v>1978825</v>
      </c>
    </row>
    <row r="90" spans="1:16" ht="21" customHeight="1">
      <c r="A90" s="263"/>
      <c r="B90" s="267"/>
      <c r="C90" s="264" t="s">
        <v>552</v>
      </c>
      <c r="D90" s="21" t="s">
        <v>225</v>
      </c>
      <c r="E90" s="114">
        <v>18000</v>
      </c>
      <c r="F90" s="328">
        <v>22200</v>
      </c>
      <c r="G90" s="357">
        <f>I90+L90</f>
        <v>20000</v>
      </c>
      <c r="H90" s="337">
        <f t="shared" si="24"/>
        <v>0.9009009009009009</v>
      </c>
      <c r="I90" s="114">
        <f>J90+K90</f>
        <v>0</v>
      </c>
      <c r="J90" s="114"/>
      <c r="K90" s="114"/>
      <c r="L90" s="114">
        <f t="shared" si="30"/>
        <v>20000</v>
      </c>
      <c r="M90" s="114"/>
      <c r="N90" s="114"/>
      <c r="O90" s="114"/>
      <c r="P90" s="114">
        <v>20000</v>
      </c>
    </row>
    <row r="91" spans="1:16" ht="26.25" customHeight="1">
      <c r="A91" s="455">
        <v>758</v>
      </c>
      <c r="B91" s="452"/>
      <c r="C91" s="451"/>
      <c r="D91" s="452" t="s">
        <v>267</v>
      </c>
      <c r="E91" s="341">
        <f aca="true" t="shared" si="32" ref="E91:P91">E92+E94+E98+E96</f>
        <v>3950659</v>
      </c>
      <c r="F91" s="342">
        <f>F92+F94+F98+F96</f>
        <v>3954459</v>
      </c>
      <c r="G91" s="354">
        <f t="shared" si="32"/>
        <v>4570464</v>
      </c>
      <c r="H91" s="343">
        <f t="shared" si="24"/>
        <v>1.1557747848694346</v>
      </c>
      <c r="I91" s="341">
        <f t="shared" si="32"/>
        <v>0</v>
      </c>
      <c r="J91" s="341">
        <f t="shared" si="32"/>
        <v>0</v>
      </c>
      <c r="K91" s="341">
        <f t="shared" si="32"/>
        <v>0</v>
      </c>
      <c r="L91" s="341">
        <f t="shared" si="32"/>
        <v>4570464</v>
      </c>
      <c r="M91" s="341">
        <f t="shared" si="32"/>
        <v>0</v>
      </c>
      <c r="N91" s="341">
        <f t="shared" si="32"/>
        <v>4552066</v>
      </c>
      <c r="O91" s="341">
        <f>O92+O94+O98+O96</f>
        <v>0</v>
      </c>
      <c r="P91" s="341">
        <f t="shared" si="32"/>
        <v>18398</v>
      </c>
    </row>
    <row r="92" spans="1:16" ht="32.25" customHeight="1">
      <c r="A92" s="238"/>
      <c r="B92" s="447">
        <v>75801</v>
      </c>
      <c r="C92" s="462"/>
      <c r="D92" s="453" t="s">
        <v>249</v>
      </c>
      <c r="E92" s="115">
        <f aca="true" t="shared" si="33" ref="E92:P92">E93</f>
        <v>3084182</v>
      </c>
      <c r="F92" s="383">
        <f t="shared" si="33"/>
        <v>3084182</v>
      </c>
      <c r="G92" s="354">
        <f t="shared" si="33"/>
        <v>3131522</v>
      </c>
      <c r="H92" s="334">
        <f t="shared" si="24"/>
        <v>1.0153492887255031</v>
      </c>
      <c r="I92" s="115">
        <f t="shared" si="33"/>
        <v>0</v>
      </c>
      <c r="J92" s="115">
        <f t="shared" si="33"/>
        <v>0</v>
      </c>
      <c r="K92" s="115">
        <f t="shared" si="33"/>
        <v>0</v>
      </c>
      <c r="L92" s="115">
        <f t="shared" si="30"/>
        <v>3131522</v>
      </c>
      <c r="M92" s="115">
        <f t="shared" si="33"/>
        <v>0</v>
      </c>
      <c r="N92" s="115">
        <f t="shared" si="33"/>
        <v>3131522</v>
      </c>
      <c r="O92" s="115">
        <f t="shared" si="33"/>
        <v>0</v>
      </c>
      <c r="P92" s="115">
        <f t="shared" si="33"/>
        <v>0</v>
      </c>
    </row>
    <row r="93" spans="1:16" ht="23.25" customHeight="1">
      <c r="A93" s="68"/>
      <c r="B93" s="239"/>
      <c r="C93" s="385" t="s">
        <v>250</v>
      </c>
      <c r="D93" s="387" t="s">
        <v>251</v>
      </c>
      <c r="E93" s="241">
        <v>3084182</v>
      </c>
      <c r="F93" s="332">
        <f>E93</f>
        <v>3084182</v>
      </c>
      <c r="G93" s="358">
        <f>I93+L93</f>
        <v>3131522</v>
      </c>
      <c r="H93" s="336">
        <f t="shared" si="24"/>
        <v>1.0153492887255031</v>
      </c>
      <c r="I93" s="241">
        <f>J93+K93</f>
        <v>0</v>
      </c>
      <c r="J93" s="241"/>
      <c r="K93" s="241"/>
      <c r="L93" s="241">
        <f t="shared" si="30"/>
        <v>3131522</v>
      </c>
      <c r="M93" s="241"/>
      <c r="N93" s="241">
        <v>3131522</v>
      </c>
      <c r="O93" s="241"/>
      <c r="P93" s="241"/>
    </row>
    <row r="94" spans="1:16" ht="30">
      <c r="A94" s="68"/>
      <c r="B94" s="447">
        <v>75807</v>
      </c>
      <c r="C94" s="462"/>
      <c r="D94" s="453" t="s">
        <v>252</v>
      </c>
      <c r="E94" s="115">
        <f aca="true" t="shared" si="34" ref="E94:P94">E95</f>
        <v>832462</v>
      </c>
      <c r="F94" s="383">
        <f t="shared" si="34"/>
        <v>832462</v>
      </c>
      <c r="G94" s="354">
        <f t="shared" si="34"/>
        <v>1407250</v>
      </c>
      <c r="H94" s="334">
        <f t="shared" si="24"/>
        <v>1.6904675528732842</v>
      </c>
      <c r="I94" s="115">
        <f t="shared" si="34"/>
        <v>0</v>
      </c>
      <c r="J94" s="115">
        <f t="shared" si="34"/>
        <v>0</v>
      </c>
      <c r="K94" s="115">
        <f t="shared" si="34"/>
        <v>0</v>
      </c>
      <c r="L94" s="115">
        <f t="shared" si="30"/>
        <v>1407250</v>
      </c>
      <c r="M94" s="115">
        <f t="shared" si="34"/>
        <v>0</v>
      </c>
      <c r="N94" s="115">
        <f t="shared" si="34"/>
        <v>1407250</v>
      </c>
      <c r="O94" s="115">
        <f t="shared" si="34"/>
        <v>0</v>
      </c>
      <c r="P94" s="115">
        <f t="shared" si="34"/>
        <v>0</v>
      </c>
    </row>
    <row r="95" spans="1:16" ht="23.25" customHeight="1">
      <c r="A95" s="68"/>
      <c r="B95" s="239"/>
      <c r="C95" s="385" t="s">
        <v>250</v>
      </c>
      <c r="D95" s="387" t="s">
        <v>251</v>
      </c>
      <c r="E95" s="241">
        <v>832462</v>
      </c>
      <c r="F95" s="332">
        <f>E95</f>
        <v>832462</v>
      </c>
      <c r="G95" s="358">
        <f>I95+L95</f>
        <v>1407250</v>
      </c>
      <c r="H95" s="336">
        <f t="shared" si="24"/>
        <v>1.6904675528732842</v>
      </c>
      <c r="I95" s="241">
        <f>J95+K95</f>
        <v>0</v>
      </c>
      <c r="J95" s="241"/>
      <c r="K95" s="241"/>
      <c r="L95" s="241">
        <f t="shared" si="30"/>
        <v>1407250</v>
      </c>
      <c r="M95" s="241"/>
      <c r="N95" s="241">
        <v>1407250</v>
      </c>
      <c r="O95" s="241"/>
      <c r="P95" s="241"/>
    </row>
    <row r="96" spans="1:16" ht="27.75" customHeight="1">
      <c r="A96" s="68"/>
      <c r="B96" s="447">
        <v>75814</v>
      </c>
      <c r="C96" s="462"/>
      <c r="D96" s="449" t="s">
        <v>254</v>
      </c>
      <c r="E96" s="115">
        <f aca="true" t="shared" si="35" ref="E96:P96">E97</f>
        <v>14000</v>
      </c>
      <c r="F96" s="383">
        <f t="shared" si="35"/>
        <v>17800</v>
      </c>
      <c r="G96" s="354">
        <f t="shared" si="35"/>
        <v>18398</v>
      </c>
      <c r="H96" s="334">
        <f t="shared" si="24"/>
        <v>1.0335955056179775</v>
      </c>
      <c r="I96" s="115">
        <f t="shared" si="35"/>
        <v>0</v>
      </c>
      <c r="J96" s="115">
        <f t="shared" si="35"/>
        <v>0</v>
      </c>
      <c r="K96" s="115">
        <f t="shared" si="35"/>
        <v>0</v>
      </c>
      <c r="L96" s="115">
        <f t="shared" si="30"/>
        <v>18398</v>
      </c>
      <c r="M96" s="115">
        <f t="shared" si="35"/>
        <v>0</v>
      </c>
      <c r="N96" s="115">
        <f t="shared" si="35"/>
        <v>0</v>
      </c>
      <c r="O96" s="115">
        <f t="shared" si="35"/>
        <v>0</v>
      </c>
      <c r="P96" s="115">
        <f t="shared" si="35"/>
        <v>18398</v>
      </c>
    </row>
    <row r="97" spans="1:16" ht="23.25" customHeight="1">
      <c r="A97" s="68"/>
      <c r="B97" s="239"/>
      <c r="C97" s="385" t="s">
        <v>182</v>
      </c>
      <c r="D97" s="387" t="s">
        <v>183</v>
      </c>
      <c r="E97" s="241">
        <v>14000</v>
      </c>
      <c r="F97" s="332">
        <f>17800</f>
        <v>17800</v>
      </c>
      <c r="G97" s="358">
        <f>I97+L97</f>
        <v>18398</v>
      </c>
      <c r="H97" s="336">
        <f t="shared" si="24"/>
        <v>1.0335955056179775</v>
      </c>
      <c r="I97" s="241"/>
      <c r="J97" s="241"/>
      <c r="K97" s="241"/>
      <c r="L97" s="241">
        <f t="shared" si="30"/>
        <v>18398</v>
      </c>
      <c r="M97" s="241"/>
      <c r="N97" s="241"/>
      <c r="O97" s="241"/>
      <c r="P97" s="241">
        <f>5340+2000+8260+2798</f>
        <v>18398</v>
      </c>
    </row>
    <row r="98" spans="1:16" ht="27" customHeight="1">
      <c r="A98" s="68"/>
      <c r="B98" s="447">
        <v>75831</v>
      </c>
      <c r="C98" s="462"/>
      <c r="D98" s="453" t="s">
        <v>253</v>
      </c>
      <c r="E98" s="115">
        <f aca="true" t="shared" si="36" ref="E98:P98">E99</f>
        <v>20015</v>
      </c>
      <c r="F98" s="383">
        <f t="shared" si="36"/>
        <v>20015</v>
      </c>
      <c r="G98" s="354">
        <f t="shared" si="36"/>
        <v>13294</v>
      </c>
      <c r="H98" s="334">
        <f t="shared" si="24"/>
        <v>0.6642018486135398</v>
      </c>
      <c r="I98" s="115">
        <f t="shared" si="36"/>
        <v>0</v>
      </c>
      <c r="J98" s="115">
        <f t="shared" si="36"/>
        <v>0</v>
      </c>
      <c r="K98" s="115">
        <f t="shared" si="36"/>
        <v>0</v>
      </c>
      <c r="L98" s="115">
        <f t="shared" si="30"/>
        <v>13294</v>
      </c>
      <c r="M98" s="115">
        <f t="shared" si="36"/>
        <v>0</v>
      </c>
      <c r="N98" s="115">
        <f t="shared" si="36"/>
        <v>13294</v>
      </c>
      <c r="O98" s="115">
        <f t="shared" si="36"/>
        <v>0</v>
      </c>
      <c r="P98" s="115">
        <f t="shared" si="36"/>
        <v>0</v>
      </c>
    </row>
    <row r="99" spans="1:16" ht="19.5" customHeight="1">
      <c r="A99" s="263"/>
      <c r="B99" s="224"/>
      <c r="C99" s="547" t="s">
        <v>250</v>
      </c>
      <c r="D99" s="548" t="s">
        <v>251</v>
      </c>
      <c r="E99" s="226">
        <v>20015</v>
      </c>
      <c r="F99" s="330">
        <f>E99</f>
        <v>20015</v>
      </c>
      <c r="G99" s="375">
        <f>I99+L99</f>
        <v>13294</v>
      </c>
      <c r="H99" s="376">
        <f t="shared" si="24"/>
        <v>0.6642018486135398</v>
      </c>
      <c r="I99" s="226">
        <f>J99+K99</f>
        <v>0</v>
      </c>
      <c r="J99" s="226"/>
      <c r="K99" s="226"/>
      <c r="L99" s="226">
        <f t="shared" si="30"/>
        <v>13294</v>
      </c>
      <c r="M99" s="226"/>
      <c r="N99" s="226">
        <v>13294</v>
      </c>
      <c r="O99" s="226"/>
      <c r="P99" s="226"/>
    </row>
    <row r="100" spans="1:16" ht="7.5" customHeight="1">
      <c r="A100" s="87"/>
      <c r="B100" s="4"/>
      <c r="C100" s="80"/>
      <c r="D100" s="5"/>
      <c r="E100" s="96"/>
      <c r="F100" s="96"/>
      <c r="G100" s="380"/>
      <c r="H100" s="144"/>
      <c r="I100" s="96"/>
      <c r="J100" s="96"/>
      <c r="K100" s="96"/>
      <c r="L100" s="96"/>
      <c r="M100" s="96"/>
      <c r="N100" s="96"/>
      <c r="O100" s="96"/>
      <c r="P100" s="96"/>
    </row>
    <row r="101" spans="1:16" s="47" customFormat="1" ht="8.25">
      <c r="A101" s="88">
        <v>1</v>
      </c>
      <c r="B101" s="88">
        <v>2</v>
      </c>
      <c r="C101" s="88">
        <v>3</v>
      </c>
      <c r="D101" s="88">
        <v>4</v>
      </c>
      <c r="E101" s="88">
        <v>5</v>
      </c>
      <c r="F101" s="329">
        <v>6</v>
      </c>
      <c r="G101" s="379">
        <v>7</v>
      </c>
      <c r="H101" s="338">
        <v>8</v>
      </c>
      <c r="I101" s="88">
        <v>9</v>
      </c>
      <c r="J101" s="88">
        <v>10</v>
      </c>
      <c r="K101" s="88">
        <v>11</v>
      </c>
      <c r="L101" s="88">
        <v>12</v>
      </c>
      <c r="M101" s="88">
        <v>13</v>
      </c>
      <c r="N101" s="88">
        <v>14</v>
      </c>
      <c r="O101" s="88">
        <v>15</v>
      </c>
      <c r="P101" s="88">
        <v>16</v>
      </c>
    </row>
    <row r="102" spans="1:16" s="63" customFormat="1" ht="24.75" customHeight="1">
      <c r="A102" s="454">
        <v>801</v>
      </c>
      <c r="B102" s="452"/>
      <c r="C102" s="452"/>
      <c r="D102" s="452" t="s">
        <v>268</v>
      </c>
      <c r="E102" s="341">
        <f>E103+E105</f>
        <v>22226</v>
      </c>
      <c r="F102" s="341">
        <f>F103+F105</f>
        <v>22226</v>
      </c>
      <c r="G102" s="354">
        <f>G103+G105</f>
        <v>8685</v>
      </c>
      <c r="H102" s="343">
        <f t="shared" si="24"/>
        <v>0.3907585710429227</v>
      </c>
      <c r="I102" s="341">
        <f>I103+I105</f>
        <v>0</v>
      </c>
      <c r="J102" s="341">
        <f aca="true" t="shared" si="37" ref="J102:P102">J103+J105</f>
        <v>0</v>
      </c>
      <c r="K102" s="341">
        <f t="shared" si="37"/>
        <v>0</v>
      </c>
      <c r="L102" s="341">
        <f t="shared" si="37"/>
        <v>8685</v>
      </c>
      <c r="M102" s="341">
        <f t="shared" si="37"/>
        <v>0</v>
      </c>
      <c r="N102" s="341">
        <f t="shared" si="37"/>
        <v>8685</v>
      </c>
      <c r="O102" s="341">
        <f t="shared" si="37"/>
        <v>0</v>
      </c>
      <c r="P102" s="341">
        <f t="shared" si="37"/>
        <v>0</v>
      </c>
    </row>
    <row r="103" spans="1:16" s="62" customFormat="1" ht="24.75" customHeight="1">
      <c r="A103" s="220"/>
      <c r="B103" s="447">
        <v>80101</v>
      </c>
      <c r="C103" s="448"/>
      <c r="D103" s="447" t="s">
        <v>257</v>
      </c>
      <c r="E103" s="365">
        <f>SUM(E104:E104)</f>
        <v>5848</v>
      </c>
      <c r="F103" s="365">
        <f>SUM(F104:F104)</f>
        <v>5848</v>
      </c>
      <c r="G103" s="360">
        <f>SUM(G104:G104)</f>
        <v>8685</v>
      </c>
      <c r="H103" s="334">
        <f t="shared" si="24"/>
        <v>1.4851231190150478</v>
      </c>
      <c r="I103" s="365">
        <f aca="true" t="shared" si="38" ref="I103:P103">SUM(I104:I104)</f>
        <v>0</v>
      </c>
      <c r="J103" s="365">
        <f t="shared" si="38"/>
        <v>0</v>
      </c>
      <c r="K103" s="365">
        <f t="shared" si="38"/>
        <v>0</v>
      </c>
      <c r="L103" s="365">
        <f t="shared" si="38"/>
        <v>8685</v>
      </c>
      <c r="M103" s="365">
        <f t="shared" si="38"/>
        <v>0</v>
      </c>
      <c r="N103" s="365">
        <f t="shared" si="38"/>
        <v>8685</v>
      </c>
      <c r="O103" s="365">
        <f t="shared" si="38"/>
        <v>0</v>
      </c>
      <c r="P103" s="365">
        <f t="shared" si="38"/>
        <v>0</v>
      </c>
    </row>
    <row r="104" spans="1:16" ht="27" customHeight="1">
      <c r="A104" s="66"/>
      <c r="B104" s="367"/>
      <c r="C104" s="368" t="s">
        <v>269</v>
      </c>
      <c r="D104" s="371" t="s">
        <v>270</v>
      </c>
      <c r="E104" s="241">
        <v>5848</v>
      </c>
      <c r="F104" s="332">
        <v>5848</v>
      </c>
      <c r="G104" s="358">
        <f>I104+L104</f>
        <v>8685</v>
      </c>
      <c r="H104" s="336">
        <f t="shared" si="24"/>
        <v>1.4851231190150478</v>
      </c>
      <c r="I104" s="241"/>
      <c r="J104" s="241"/>
      <c r="K104" s="241"/>
      <c r="L104" s="241">
        <f>SUM(M104:P104)</f>
        <v>8685</v>
      </c>
      <c r="M104" s="241"/>
      <c r="N104" s="241">
        <v>8685</v>
      </c>
      <c r="O104" s="241"/>
      <c r="P104" s="241"/>
    </row>
    <row r="105" spans="1:16" s="62" customFormat="1" ht="26.25" customHeight="1">
      <c r="A105" s="69"/>
      <c r="B105" s="447">
        <v>80195</v>
      </c>
      <c r="C105" s="448"/>
      <c r="D105" s="447" t="s">
        <v>177</v>
      </c>
      <c r="E105" s="365">
        <f>E106</f>
        <v>16378</v>
      </c>
      <c r="F105" s="366">
        <f>F106</f>
        <v>16378</v>
      </c>
      <c r="G105" s="360">
        <f>G106</f>
        <v>0</v>
      </c>
      <c r="H105" s="334">
        <f t="shared" si="24"/>
        <v>0</v>
      </c>
      <c r="I105" s="365">
        <f aca="true" t="shared" si="39" ref="I105:P105">I106</f>
        <v>0</v>
      </c>
      <c r="J105" s="365">
        <f t="shared" si="39"/>
        <v>0</v>
      </c>
      <c r="K105" s="365">
        <f t="shared" si="39"/>
        <v>0</v>
      </c>
      <c r="L105" s="365">
        <f t="shared" si="39"/>
        <v>0</v>
      </c>
      <c r="M105" s="365">
        <f t="shared" si="39"/>
        <v>0</v>
      </c>
      <c r="N105" s="365">
        <f t="shared" si="39"/>
        <v>0</v>
      </c>
      <c r="O105" s="365">
        <f t="shared" si="39"/>
        <v>0</v>
      </c>
      <c r="P105" s="365">
        <f t="shared" si="39"/>
        <v>0</v>
      </c>
    </row>
    <row r="106" spans="1:16" ht="25.5">
      <c r="A106" s="68"/>
      <c r="B106" s="367"/>
      <c r="C106" s="368" t="s">
        <v>269</v>
      </c>
      <c r="D106" s="369" t="s">
        <v>270</v>
      </c>
      <c r="E106" s="241">
        <v>16378</v>
      </c>
      <c r="F106" s="332">
        <v>16378</v>
      </c>
      <c r="G106" s="360"/>
      <c r="H106" s="336">
        <f t="shared" si="24"/>
        <v>0</v>
      </c>
      <c r="I106" s="241"/>
      <c r="J106" s="241"/>
      <c r="K106" s="241"/>
      <c r="L106" s="241"/>
      <c r="M106" s="241"/>
      <c r="N106" s="241"/>
      <c r="O106" s="241"/>
      <c r="P106" s="241"/>
    </row>
    <row r="107" spans="1:16" s="63" customFormat="1" ht="23.25" customHeight="1">
      <c r="A107" s="454">
        <v>851</v>
      </c>
      <c r="B107" s="452"/>
      <c r="C107" s="452"/>
      <c r="D107" s="452" t="s">
        <v>271</v>
      </c>
      <c r="E107" s="341">
        <f aca="true" t="shared" si="40" ref="E107:P107">E108</f>
        <v>0</v>
      </c>
      <c r="F107" s="342">
        <f t="shared" si="40"/>
        <v>0</v>
      </c>
      <c r="G107" s="354">
        <f t="shared" si="40"/>
        <v>2465000</v>
      </c>
      <c r="H107" s="343"/>
      <c r="I107" s="341">
        <f t="shared" si="40"/>
        <v>2465000</v>
      </c>
      <c r="J107" s="341">
        <f t="shared" si="40"/>
        <v>2465000</v>
      </c>
      <c r="K107" s="341">
        <f t="shared" si="40"/>
        <v>0</v>
      </c>
      <c r="L107" s="341">
        <f t="shared" si="40"/>
        <v>0</v>
      </c>
      <c r="M107" s="341">
        <f t="shared" si="40"/>
        <v>0</v>
      </c>
      <c r="N107" s="341">
        <f t="shared" si="40"/>
        <v>0</v>
      </c>
      <c r="O107" s="341">
        <f t="shared" si="40"/>
        <v>0</v>
      </c>
      <c r="P107" s="341">
        <f t="shared" si="40"/>
        <v>0</v>
      </c>
    </row>
    <row r="108" spans="1:16" s="62" customFormat="1" ht="23.25" customHeight="1">
      <c r="A108" s="220"/>
      <c r="B108" s="447">
        <v>85121</v>
      </c>
      <c r="C108" s="448"/>
      <c r="D108" s="447" t="s">
        <v>272</v>
      </c>
      <c r="E108" s="366">
        <f>E112</f>
        <v>0</v>
      </c>
      <c r="F108" s="366">
        <f>F112</f>
        <v>0</v>
      </c>
      <c r="G108" s="360">
        <f>G112</f>
        <v>2465000</v>
      </c>
      <c r="H108" s="334"/>
      <c r="I108" s="365">
        <f>I112</f>
        <v>2465000</v>
      </c>
      <c r="J108" s="365">
        <f aca="true" t="shared" si="41" ref="J108:P108">J112</f>
        <v>2465000</v>
      </c>
      <c r="K108" s="365">
        <f t="shared" si="41"/>
        <v>0</v>
      </c>
      <c r="L108" s="365">
        <f t="shared" si="41"/>
        <v>0</v>
      </c>
      <c r="M108" s="365">
        <f t="shared" si="41"/>
        <v>0</v>
      </c>
      <c r="N108" s="365">
        <f t="shared" si="41"/>
        <v>0</v>
      </c>
      <c r="O108" s="365">
        <f t="shared" si="41"/>
        <v>0</v>
      </c>
      <c r="P108" s="365">
        <f t="shared" si="41"/>
        <v>0</v>
      </c>
    </row>
    <row r="109" spans="1:16" s="62" customFormat="1" ht="9" customHeight="1" hidden="1">
      <c r="A109" s="69"/>
      <c r="B109" s="78"/>
      <c r="C109" s="100" t="s">
        <v>412</v>
      </c>
      <c r="D109" s="371" t="s">
        <v>258</v>
      </c>
      <c r="E109" s="102"/>
      <c r="F109" s="327"/>
      <c r="G109" s="356">
        <f>I109+L109</f>
        <v>0</v>
      </c>
      <c r="H109" s="335"/>
      <c r="I109" s="241">
        <f>J109+K109</f>
        <v>0</v>
      </c>
      <c r="J109" s="219"/>
      <c r="K109" s="219"/>
      <c r="L109" s="219"/>
      <c r="M109" s="219"/>
      <c r="N109" s="219"/>
      <c r="O109" s="219"/>
      <c r="P109" s="219"/>
    </row>
    <row r="110" spans="1:16" ht="9" customHeight="1" hidden="1">
      <c r="A110" s="87"/>
      <c r="B110" s="4"/>
      <c r="C110" s="80"/>
      <c r="D110" s="5"/>
      <c r="E110" s="96"/>
      <c r="F110" s="381"/>
      <c r="G110" s="380"/>
      <c r="H110" s="382"/>
      <c r="I110" s="381"/>
      <c r="J110" s="96"/>
      <c r="K110" s="96"/>
      <c r="L110" s="96"/>
      <c r="M110" s="96"/>
      <c r="N110" s="96"/>
      <c r="O110" s="96"/>
      <c r="P110" s="96"/>
    </row>
    <row r="111" spans="1:16" s="47" customFormat="1" ht="8.25" hidden="1">
      <c r="A111" s="88">
        <v>1</v>
      </c>
      <c r="B111" s="88">
        <v>2</v>
      </c>
      <c r="C111" s="88">
        <v>3</v>
      </c>
      <c r="D111" s="88">
        <v>4</v>
      </c>
      <c r="E111" s="88">
        <v>5</v>
      </c>
      <c r="F111" s="329">
        <v>6</v>
      </c>
      <c r="G111" s="379">
        <v>7</v>
      </c>
      <c r="H111" s="338">
        <v>8</v>
      </c>
      <c r="I111" s="88">
        <v>9</v>
      </c>
      <c r="J111" s="88">
        <v>10</v>
      </c>
      <c r="K111" s="88">
        <v>11</v>
      </c>
      <c r="L111" s="88">
        <v>12</v>
      </c>
      <c r="M111" s="88">
        <v>13</v>
      </c>
      <c r="N111" s="88">
        <v>14</v>
      </c>
      <c r="O111" s="88">
        <v>15</v>
      </c>
      <c r="P111" s="88">
        <v>16</v>
      </c>
    </row>
    <row r="112" spans="1:16" ht="38.25">
      <c r="A112" s="68"/>
      <c r="B112" s="73"/>
      <c r="C112" s="73">
        <v>6298</v>
      </c>
      <c r="D112" s="303" t="s">
        <v>234</v>
      </c>
      <c r="E112" s="84"/>
      <c r="F112" s="326"/>
      <c r="G112" s="355">
        <f>I112+L112</f>
        <v>2465000</v>
      </c>
      <c r="H112" s="336"/>
      <c r="I112" s="83">
        <f>J112+K112</f>
        <v>2465000</v>
      </c>
      <c r="J112" s="82">
        <v>2465000</v>
      </c>
      <c r="K112" s="83"/>
      <c r="L112" s="83"/>
      <c r="M112" s="83"/>
      <c r="N112" s="83"/>
      <c r="O112" s="83"/>
      <c r="P112" s="83"/>
    </row>
    <row r="113" spans="1:16" s="63" customFormat="1" ht="24.75" customHeight="1">
      <c r="A113" s="344">
        <v>852</v>
      </c>
      <c r="B113" s="340"/>
      <c r="C113" s="340"/>
      <c r="D113" s="340" t="s">
        <v>226</v>
      </c>
      <c r="E113" s="341">
        <f>E114+E117+E119+E123+E125+E127</f>
        <v>2423600</v>
      </c>
      <c r="F113" s="342">
        <f>F114+F117+F119+F123+F125+F127</f>
        <v>2423600</v>
      </c>
      <c r="G113" s="354">
        <f>G114+G117+G119+G123+G125+G127</f>
        <v>2527400</v>
      </c>
      <c r="H113" s="343">
        <f t="shared" si="24"/>
        <v>1.0428288496451559</v>
      </c>
      <c r="I113" s="341">
        <f aca="true" t="shared" si="42" ref="I113:P113">I114+I117+I119+I123+I125+I127</f>
        <v>0</v>
      </c>
      <c r="J113" s="341">
        <f t="shared" si="42"/>
        <v>0</v>
      </c>
      <c r="K113" s="341">
        <f t="shared" si="42"/>
        <v>0</v>
      </c>
      <c r="L113" s="341">
        <f t="shared" si="42"/>
        <v>2527400</v>
      </c>
      <c r="M113" s="341">
        <f t="shared" si="42"/>
        <v>0</v>
      </c>
      <c r="N113" s="341">
        <f t="shared" si="42"/>
        <v>685900</v>
      </c>
      <c r="O113" s="341">
        <f t="shared" si="42"/>
        <v>1819000</v>
      </c>
      <c r="P113" s="341">
        <f t="shared" si="42"/>
        <v>22500</v>
      </c>
    </row>
    <row r="114" spans="1:16" s="62" customFormat="1" ht="42.75">
      <c r="A114" s="220"/>
      <c r="B114" s="242">
        <v>85212</v>
      </c>
      <c r="C114" s="363"/>
      <c r="D114" s="364" t="s">
        <v>261</v>
      </c>
      <c r="E114" s="365">
        <f aca="true" t="shared" si="43" ref="E114:P114">SUM(E115:E116)</f>
        <v>1581000</v>
      </c>
      <c r="F114" s="366">
        <f>SUM(F115:F116)</f>
        <v>1581000</v>
      </c>
      <c r="G114" s="360">
        <f t="shared" si="43"/>
        <v>1602000</v>
      </c>
      <c r="H114" s="334">
        <f t="shared" si="24"/>
        <v>1.0132827324478177</v>
      </c>
      <c r="I114" s="365">
        <f t="shared" si="43"/>
        <v>0</v>
      </c>
      <c r="J114" s="365">
        <f t="shared" si="43"/>
        <v>0</v>
      </c>
      <c r="K114" s="365">
        <f t="shared" si="43"/>
        <v>0</v>
      </c>
      <c r="L114" s="365">
        <f t="shared" si="43"/>
        <v>1602000</v>
      </c>
      <c r="M114" s="365">
        <f t="shared" si="43"/>
        <v>0</v>
      </c>
      <c r="N114" s="365">
        <f t="shared" si="43"/>
        <v>0</v>
      </c>
      <c r="O114" s="365">
        <f>SUM(O115:O116)</f>
        <v>1599000</v>
      </c>
      <c r="P114" s="365">
        <f t="shared" si="43"/>
        <v>3000</v>
      </c>
    </row>
    <row r="115" spans="1:16" ht="51">
      <c r="A115" s="66"/>
      <c r="B115" s="99"/>
      <c r="C115" s="100" t="s">
        <v>239</v>
      </c>
      <c r="D115" s="370" t="s">
        <v>240</v>
      </c>
      <c r="E115" s="102">
        <v>1578000</v>
      </c>
      <c r="F115" s="327">
        <v>1578000</v>
      </c>
      <c r="G115" s="356">
        <f>I115+L115</f>
        <v>1599000</v>
      </c>
      <c r="H115" s="335">
        <f t="shared" si="24"/>
        <v>1.0133079847908746</v>
      </c>
      <c r="I115" s="241">
        <f>J115+K115</f>
        <v>0</v>
      </c>
      <c r="J115" s="102"/>
      <c r="K115" s="102"/>
      <c r="L115" s="102">
        <f>SUM(M115:P115)</f>
        <v>1599000</v>
      </c>
      <c r="M115" s="102"/>
      <c r="N115" s="102"/>
      <c r="O115" s="102">
        <v>1599000</v>
      </c>
      <c r="P115" s="102"/>
    </row>
    <row r="116" spans="1:16" ht="51">
      <c r="A116" s="66"/>
      <c r="B116" s="73"/>
      <c r="C116" s="76" t="s">
        <v>247</v>
      </c>
      <c r="D116" s="304" t="s">
        <v>248</v>
      </c>
      <c r="E116" s="83">
        <v>3000</v>
      </c>
      <c r="F116" s="331">
        <v>3000</v>
      </c>
      <c r="G116" s="359">
        <f>I116+L116</f>
        <v>3000</v>
      </c>
      <c r="H116" s="336">
        <f t="shared" si="24"/>
        <v>1</v>
      </c>
      <c r="I116" s="83">
        <f>J116+K116</f>
        <v>0</v>
      </c>
      <c r="J116" s="83"/>
      <c r="K116" s="83"/>
      <c r="L116" s="83">
        <f>SUM(M116:P116)</f>
        <v>3000</v>
      </c>
      <c r="M116" s="83"/>
      <c r="N116" s="83"/>
      <c r="O116" s="83"/>
      <c r="P116" s="83">
        <v>3000</v>
      </c>
    </row>
    <row r="117" spans="1:16" s="62" customFormat="1" ht="32.25" customHeight="1">
      <c r="A117" s="69"/>
      <c r="B117" s="242">
        <v>85213</v>
      </c>
      <c r="C117" s="363"/>
      <c r="D117" s="364" t="s">
        <v>262</v>
      </c>
      <c r="E117" s="365">
        <f aca="true" t="shared" si="44" ref="E117:P117">E118</f>
        <v>18000</v>
      </c>
      <c r="F117" s="366">
        <f t="shared" si="44"/>
        <v>18000</v>
      </c>
      <c r="G117" s="360">
        <f t="shared" si="44"/>
        <v>20000</v>
      </c>
      <c r="H117" s="334">
        <f t="shared" si="24"/>
        <v>1.1111111111111112</v>
      </c>
      <c r="I117" s="365">
        <f t="shared" si="44"/>
        <v>0</v>
      </c>
      <c r="J117" s="365">
        <f t="shared" si="44"/>
        <v>0</v>
      </c>
      <c r="K117" s="365">
        <f t="shared" si="44"/>
        <v>0</v>
      </c>
      <c r="L117" s="365">
        <f t="shared" si="44"/>
        <v>20000</v>
      </c>
      <c r="M117" s="365">
        <f t="shared" si="44"/>
        <v>0</v>
      </c>
      <c r="N117" s="365">
        <f t="shared" si="44"/>
        <v>0</v>
      </c>
      <c r="O117" s="365">
        <f t="shared" si="44"/>
        <v>20000</v>
      </c>
      <c r="P117" s="365">
        <f t="shared" si="44"/>
        <v>0</v>
      </c>
    </row>
    <row r="118" spans="1:16" ht="28.5" customHeight="1">
      <c r="A118" s="66"/>
      <c r="B118" s="224"/>
      <c r="C118" s="266" t="s">
        <v>239</v>
      </c>
      <c r="D118" s="386" t="s">
        <v>240</v>
      </c>
      <c r="E118" s="226">
        <v>18000</v>
      </c>
      <c r="F118" s="330">
        <v>18000</v>
      </c>
      <c r="G118" s="375">
        <f>I118+L118</f>
        <v>20000</v>
      </c>
      <c r="H118" s="376">
        <f t="shared" si="24"/>
        <v>1.1111111111111112</v>
      </c>
      <c r="I118" s="226">
        <f>J118+K118</f>
        <v>0</v>
      </c>
      <c r="J118" s="226"/>
      <c r="K118" s="226"/>
      <c r="L118" s="226">
        <f>SUM(M118:P118)</f>
        <v>20000</v>
      </c>
      <c r="M118" s="226"/>
      <c r="N118" s="226"/>
      <c r="O118" s="226">
        <v>20000</v>
      </c>
      <c r="P118" s="226"/>
    </row>
    <row r="119" spans="1:16" s="62" customFormat="1" ht="27" customHeight="1">
      <c r="A119" s="97"/>
      <c r="B119" s="242">
        <v>85214</v>
      </c>
      <c r="C119" s="363"/>
      <c r="D119" s="364" t="s">
        <v>263</v>
      </c>
      <c r="E119" s="365">
        <f aca="true" t="shared" si="45" ref="E119:P119">SUM(E120:E122)</f>
        <v>545000</v>
      </c>
      <c r="F119" s="366">
        <f>SUM(F120:F122)</f>
        <v>545000</v>
      </c>
      <c r="G119" s="360">
        <f t="shared" si="45"/>
        <v>680500</v>
      </c>
      <c r="H119" s="334">
        <f t="shared" si="24"/>
        <v>1.2486238532110092</v>
      </c>
      <c r="I119" s="365">
        <f t="shared" si="45"/>
        <v>0</v>
      </c>
      <c r="J119" s="365">
        <f t="shared" si="45"/>
        <v>0</v>
      </c>
      <c r="K119" s="365">
        <f t="shared" si="45"/>
        <v>0</v>
      </c>
      <c r="L119" s="365">
        <f t="shared" si="45"/>
        <v>680500</v>
      </c>
      <c r="M119" s="365">
        <f t="shared" si="45"/>
        <v>0</v>
      </c>
      <c r="N119" s="365">
        <f t="shared" si="45"/>
        <v>477000</v>
      </c>
      <c r="O119" s="365">
        <f t="shared" si="45"/>
        <v>200000</v>
      </c>
      <c r="P119" s="365">
        <f t="shared" si="45"/>
        <v>3500</v>
      </c>
    </row>
    <row r="120" spans="1:16" ht="19.5" customHeight="1">
      <c r="A120" s="66"/>
      <c r="B120" s="99"/>
      <c r="C120" s="384" t="s">
        <v>182</v>
      </c>
      <c r="D120" s="387" t="s">
        <v>183</v>
      </c>
      <c r="E120" s="102">
        <v>7000</v>
      </c>
      <c r="F120" s="327">
        <v>7000</v>
      </c>
      <c r="G120" s="356">
        <f>I120+L120</f>
        <v>3500</v>
      </c>
      <c r="H120" s="335">
        <f t="shared" si="24"/>
        <v>0.5</v>
      </c>
      <c r="I120" s="241">
        <f>J120+K120</f>
        <v>0</v>
      </c>
      <c r="J120" s="102"/>
      <c r="K120" s="102"/>
      <c r="L120" s="102">
        <f>SUM(M120:P120)</f>
        <v>3500</v>
      </c>
      <c r="M120" s="102"/>
      <c r="N120" s="102"/>
      <c r="O120" s="102"/>
      <c r="P120" s="102">
        <v>3500</v>
      </c>
    </row>
    <row r="121" spans="1:16" ht="51">
      <c r="A121" s="66"/>
      <c r="B121" s="30"/>
      <c r="C121" s="75" t="s">
        <v>239</v>
      </c>
      <c r="D121" s="303" t="s">
        <v>240</v>
      </c>
      <c r="E121" s="84">
        <v>189000</v>
      </c>
      <c r="F121" s="326">
        <v>189000</v>
      </c>
      <c r="G121" s="355">
        <f>I121+L121</f>
        <v>200000</v>
      </c>
      <c r="H121" s="335">
        <f>G121/F121</f>
        <v>1.0582010582010581</v>
      </c>
      <c r="I121" s="83">
        <f>J121+K121</f>
        <v>0</v>
      </c>
      <c r="J121" s="84"/>
      <c r="K121" s="84"/>
      <c r="L121" s="84">
        <f>SUM(M121:P121)</f>
        <v>200000</v>
      </c>
      <c r="M121" s="84"/>
      <c r="N121" s="84"/>
      <c r="O121" s="84">
        <v>200000</v>
      </c>
      <c r="P121" s="84"/>
    </row>
    <row r="122" spans="1:16" ht="25.5">
      <c r="A122" s="66"/>
      <c r="B122" s="73"/>
      <c r="C122" s="76" t="s">
        <v>269</v>
      </c>
      <c r="D122" s="60" t="s">
        <v>270</v>
      </c>
      <c r="E122" s="83">
        <v>349000</v>
      </c>
      <c r="F122" s="331">
        <v>349000</v>
      </c>
      <c r="G122" s="359">
        <f>I122+L122</f>
        <v>477000</v>
      </c>
      <c r="H122" s="336">
        <f t="shared" si="24"/>
        <v>1.3667621776504297</v>
      </c>
      <c r="I122" s="83">
        <f>J122+K122</f>
        <v>0</v>
      </c>
      <c r="J122" s="83"/>
      <c r="K122" s="83"/>
      <c r="L122" s="83">
        <f>SUM(M122:P122)</f>
        <v>477000</v>
      </c>
      <c r="M122" s="83"/>
      <c r="N122" s="83">
        <v>477000</v>
      </c>
      <c r="O122" s="83"/>
      <c r="P122" s="83"/>
    </row>
    <row r="123" spans="1:16" s="62" customFormat="1" ht="24" customHeight="1">
      <c r="A123" s="69"/>
      <c r="B123" s="242">
        <v>85219</v>
      </c>
      <c r="C123" s="363"/>
      <c r="D123" s="242" t="s">
        <v>227</v>
      </c>
      <c r="E123" s="365">
        <f aca="true" t="shared" si="46" ref="E123:P123">E124</f>
        <v>136000</v>
      </c>
      <c r="F123" s="366">
        <f t="shared" si="46"/>
        <v>136000</v>
      </c>
      <c r="G123" s="360">
        <f t="shared" si="46"/>
        <v>129900</v>
      </c>
      <c r="H123" s="334">
        <f t="shared" si="24"/>
        <v>0.9551470588235295</v>
      </c>
      <c r="I123" s="365">
        <f t="shared" si="46"/>
        <v>0</v>
      </c>
      <c r="J123" s="365">
        <f t="shared" si="46"/>
        <v>0</v>
      </c>
      <c r="K123" s="365">
        <f t="shared" si="46"/>
        <v>0</v>
      </c>
      <c r="L123" s="365">
        <f t="shared" si="46"/>
        <v>129900</v>
      </c>
      <c r="M123" s="365">
        <f t="shared" si="46"/>
        <v>0</v>
      </c>
      <c r="N123" s="365">
        <f t="shared" si="46"/>
        <v>129900</v>
      </c>
      <c r="O123" s="365">
        <f t="shared" si="46"/>
        <v>0</v>
      </c>
      <c r="P123" s="365">
        <f t="shared" si="46"/>
        <v>0</v>
      </c>
    </row>
    <row r="124" spans="1:16" ht="26.25" customHeight="1">
      <c r="A124" s="66"/>
      <c r="B124" s="367"/>
      <c r="C124" s="368" t="s">
        <v>269</v>
      </c>
      <c r="D124" s="369" t="s">
        <v>270</v>
      </c>
      <c r="E124" s="241">
        <v>136000</v>
      </c>
      <c r="F124" s="332">
        <v>136000</v>
      </c>
      <c r="G124" s="358">
        <f>I124+L124</f>
        <v>129900</v>
      </c>
      <c r="H124" s="336">
        <f t="shared" si="24"/>
        <v>0.9551470588235295</v>
      </c>
      <c r="I124" s="241">
        <f>J124+K124</f>
        <v>0</v>
      </c>
      <c r="J124" s="241"/>
      <c r="K124" s="241"/>
      <c r="L124" s="241">
        <f>SUM(M124:P124)</f>
        <v>129900</v>
      </c>
      <c r="M124" s="241"/>
      <c r="N124" s="241">
        <v>129900</v>
      </c>
      <c r="O124" s="241"/>
      <c r="P124" s="241"/>
    </row>
    <row r="125" spans="1:16" s="62" customFormat="1" ht="28.5">
      <c r="A125" s="69"/>
      <c r="B125" s="242">
        <v>85228</v>
      </c>
      <c r="C125" s="363"/>
      <c r="D125" s="364" t="s">
        <v>228</v>
      </c>
      <c r="E125" s="365">
        <f aca="true" t="shared" si="47" ref="E125:O125">E126</f>
        <v>13000</v>
      </c>
      <c r="F125" s="366">
        <f t="shared" si="47"/>
        <v>13000</v>
      </c>
      <c r="G125" s="360">
        <f t="shared" si="47"/>
        <v>16000</v>
      </c>
      <c r="H125" s="334">
        <f t="shared" si="24"/>
        <v>1.2307692307692308</v>
      </c>
      <c r="I125" s="365">
        <f t="shared" si="47"/>
        <v>0</v>
      </c>
      <c r="J125" s="365">
        <f t="shared" si="47"/>
        <v>0</v>
      </c>
      <c r="K125" s="365">
        <f t="shared" si="47"/>
        <v>0</v>
      </c>
      <c r="L125" s="365">
        <f t="shared" si="47"/>
        <v>16000</v>
      </c>
      <c r="M125" s="365">
        <f t="shared" si="47"/>
        <v>0</v>
      </c>
      <c r="N125" s="365">
        <f t="shared" si="47"/>
        <v>0</v>
      </c>
      <c r="O125" s="365">
        <f t="shared" si="47"/>
        <v>0</v>
      </c>
      <c r="P125" s="365">
        <f>P126</f>
        <v>16000</v>
      </c>
    </row>
    <row r="126" spans="1:16" ht="20.25" customHeight="1">
      <c r="A126" s="68"/>
      <c r="B126" s="367"/>
      <c r="C126" s="368" t="s">
        <v>179</v>
      </c>
      <c r="D126" s="362" t="s">
        <v>229</v>
      </c>
      <c r="E126" s="241">
        <v>13000</v>
      </c>
      <c r="F126" s="332">
        <v>13000</v>
      </c>
      <c r="G126" s="358">
        <f>I126+L126</f>
        <v>16000</v>
      </c>
      <c r="H126" s="336">
        <f t="shared" si="24"/>
        <v>1.2307692307692308</v>
      </c>
      <c r="I126" s="241">
        <f>J126+K126</f>
        <v>0</v>
      </c>
      <c r="J126" s="241"/>
      <c r="K126" s="241"/>
      <c r="L126" s="241">
        <f>SUM(M126:P126)</f>
        <v>16000</v>
      </c>
      <c r="M126" s="241"/>
      <c r="N126" s="241"/>
      <c r="O126" s="241"/>
      <c r="P126" s="241">
        <v>16000</v>
      </c>
    </row>
    <row r="127" spans="1:16" s="62" customFormat="1" ht="18.75" customHeight="1">
      <c r="A127" s="69"/>
      <c r="B127" s="242">
        <v>85295</v>
      </c>
      <c r="C127" s="363"/>
      <c r="D127" s="373" t="s">
        <v>177</v>
      </c>
      <c r="E127" s="365">
        <f aca="true" t="shared" si="48" ref="E127:P127">E128</f>
        <v>130600</v>
      </c>
      <c r="F127" s="366">
        <f t="shared" si="48"/>
        <v>130600</v>
      </c>
      <c r="G127" s="360">
        <f t="shared" si="48"/>
        <v>79000</v>
      </c>
      <c r="H127" s="334">
        <f t="shared" si="24"/>
        <v>0.6049004594180705</v>
      </c>
      <c r="I127" s="365">
        <f t="shared" si="48"/>
        <v>0</v>
      </c>
      <c r="J127" s="365">
        <f t="shared" si="48"/>
        <v>0</v>
      </c>
      <c r="K127" s="365">
        <f t="shared" si="48"/>
        <v>0</v>
      </c>
      <c r="L127" s="365">
        <f t="shared" si="48"/>
        <v>79000</v>
      </c>
      <c r="M127" s="365">
        <f t="shared" si="48"/>
        <v>0</v>
      </c>
      <c r="N127" s="365">
        <f t="shared" si="48"/>
        <v>79000</v>
      </c>
      <c r="O127" s="365">
        <f t="shared" si="48"/>
        <v>0</v>
      </c>
      <c r="P127" s="365">
        <f t="shared" si="48"/>
        <v>0</v>
      </c>
    </row>
    <row r="128" spans="1:16" ht="25.5">
      <c r="A128" s="263"/>
      <c r="B128" s="224"/>
      <c r="C128" s="266" t="s">
        <v>269</v>
      </c>
      <c r="D128" s="374" t="s">
        <v>270</v>
      </c>
      <c r="E128" s="226">
        <f>101300+29300</f>
        <v>130600</v>
      </c>
      <c r="F128" s="330">
        <v>130600</v>
      </c>
      <c r="G128" s="375">
        <f>I128+L128</f>
        <v>79000</v>
      </c>
      <c r="H128" s="376">
        <f t="shared" si="24"/>
        <v>0.6049004594180705</v>
      </c>
      <c r="I128" s="226">
        <f>J128+K128</f>
        <v>0</v>
      </c>
      <c r="J128" s="226"/>
      <c r="K128" s="226"/>
      <c r="L128" s="226">
        <f>SUM(M128:P128)</f>
        <v>79000</v>
      </c>
      <c r="M128" s="226"/>
      <c r="N128" s="226">
        <v>79000</v>
      </c>
      <c r="O128" s="226"/>
      <c r="P128" s="226"/>
    </row>
    <row r="129" spans="1:16" ht="6.75" customHeight="1">
      <c r="A129" s="87"/>
      <c r="B129" s="4"/>
      <c r="C129" s="80"/>
      <c r="D129" s="5"/>
      <c r="E129" s="96"/>
      <c r="F129" s="381"/>
      <c r="G129" s="380"/>
      <c r="H129" s="382"/>
      <c r="I129" s="381"/>
      <c r="J129" s="96"/>
      <c r="K129" s="96"/>
      <c r="L129" s="96"/>
      <c r="M129" s="96"/>
      <c r="N129" s="96"/>
      <c r="O129" s="96"/>
      <c r="P129" s="96"/>
    </row>
    <row r="130" spans="1:16" s="47" customFormat="1" ht="8.25">
      <c r="A130" s="88">
        <v>1</v>
      </c>
      <c r="B130" s="88">
        <v>2</v>
      </c>
      <c r="C130" s="88">
        <v>3</v>
      </c>
      <c r="D130" s="88">
        <v>4</v>
      </c>
      <c r="E130" s="88">
        <v>5</v>
      </c>
      <c r="F130" s="329">
        <v>6</v>
      </c>
      <c r="G130" s="379">
        <v>7</v>
      </c>
      <c r="H130" s="338">
        <v>8</v>
      </c>
      <c r="I130" s="88">
        <v>9</v>
      </c>
      <c r="J130" s="88">
        <v>10</v>
      </c>
      <c r="K130" s="88">
        <v>11</v>
      </c>
      <c r="L130" s="88">
        <v>12</v>
      </c>
      <c r="M130" s="88">
        <v>13</v>
      </c>
      <c r="N130" s="88">
        <v>14</v>
      </c>
      <c r="O130" s="88">
        <v>15</v>
      </c>
      <c r="P130" s="88">
        <v>16</v>
      </c>
    </row>
    <row r="131" spans="1:16" s="79" customFormat="1" ht="30">
      <c r="A131" s="345">
        <v>854</v>
      </c>
      <c r="B131" s="345"/>
      <c r="C131" s="347"/>
      <c r="D131" s="346" t="s">
        <v>273</v>
      </c>
      <c r="E131" s="348">
        <f aca="true" t="shared" si="49" ref="E131:P132">E132</f>
        <v>170223</v>
      </c>
      <c r="F131" s="349">
        <f t="shared" si="49"/>
        <v>170223</v>
      </c>
      <c r="G131" s="360">
        <f t="shared" si="49"/>
        <v>0</v>
      </c>
      <c r="H131" s="343">
        <f t="shared" si="24"/>
        <v>0</v>
      </c>
      <c r="I131" s="348">
        <f t="shared" si="49"/>
        <v>0</v>
      </c>
      <c r="J131" s="348">
        <f t="shared" si="49"/>
        <v>0</v>
      </c>
      <c r="K131" s="348">
        <f t="shared" si="49"/>
        <v>0</v>
      </c>
      <c r="L131" s="348">
        <f t="shared" si="49"/>
        <v>0</v>
      </c>
      <c r="M131" s="348">
        <f t="shared" si="49"/>
        <v>0</v>
      </c>
      <c r="N131" s="348">
        <f t="shared" si="49"/>
        <v>0</v>
      </c>
      <c r="O131" s="348">
        <f t="shared" si="49"/>
        <v>0</v>
      </c>
      <c r="P131" s="348">
        <f t="shared" si="49"/>
        <v>0</v>
      </c>
    </row>
    <row r="132" spans="1:16" ht="18.75" customHeight="1">
      <c r="A132" s="238"/>
      <c r="B132" s="239">
        <v>85415</v>
      </c>
      <c r="C132" s="100"/>
      <c r="D132" s="240" t="s">
        <v>264</v>
      </c>
      <c r="E132" s="241">
        <f t="shared" si="49"/>
        <v>170223</v>
      </c>
      <c r="F132" s="332">
        <f t="shared" si="49"/>
        <v>170223</v>
      </c>
      <c r="G132" s="358">
        <f t="shared" si="49"/>
        <v>0</v>
      </c>
      <c r="H132" s="335">
        <f t="shared" si="24"/>
        <v>0</v>
      </c>
      <c r="I132" s="241">
        <f t="shared" si="49"/>
        <v>0</v>
      </c>
      <c r="J132" s="241">
        <f t="shared" si="49"/>
        <v>0</v>
      </c>
      <c r="K132" s="241">
        <f t="shared" si="49"/>
        <v>0</v>
      </c>
      <c r="L132" s="241">
        <f t="shared" si="49"/>
        <v>0</v>
      </c>
      <c r="M132" s="241">
        <f t="shared" si="49"/>
        <v>0</v>
      </c>
      <c r="N132" s="241">
        <f t="shared" si="49"/>
        <v>0</v>
      </c>
      <c r="O132" s="241">
        <f t="shared" si="49"/>
        <v>0</v>
      </c>
      <c r="P132" s="241">
        <f t="shared" si="49"/>
        <v>0</v>
      </c>
    </row>
    <row r="133" spans="1:16" ht="25.5">
      <c r="A133" s="68"/>
      <c r="B133" s="81"/>
      <c r="C133" s="73">
        <v>2030</v>
      </c>
      <c r="D133" s="60" t="s">
        <v>270</v>
      </c>
      <c r="E133" s="83">
        <v>170223</v>
      </c>
      <c r="F133" s="331">
        <f>E133</f>
        <v>170223</v>
      </c>
      <c r="G133" s="355">
        <f>I133+L133</f>
        <v>0</v>
      </c>
      <c r="H133" s="336">
        <f aca="true" t="shared" si="50" ref="H133:H138">G133/F133</f>
        <v>0</v>
      </c>
      <c r="I133" s="83"/>
      <c r="J133" s="83"/>
      <c r="K133" s="83"/>
      <c r="L133" s="84">
        <f>SUM(M133:P133)</f>
        <v>0</v>
      </c>
      <c r="M133" s="83"/>
      <c r="N133" s="83"/>
      <c r="O133" s="83"/>
      <c r="P133" s="83"/>
    </row>
    <row r="134" spans="1:16" s="79" customFormat="1" ht="30">
      <c r="A134" s="345">
        <v>900</v>
      </c>
      <c r="B134" s="345"/>
      <c r="C134" s="347"/>
      <c r="D134" s="346" t="s">
        <v>274</v>
      </c>
      <c r="E134" s="348">
        <f>E135+E137+E142+E139</f>
        <v>150365</v>
      </c>
      <c r="F134" s="349">
        <f>F135+F137+F142+F139</f>
        <v>150365</v>
      </c>
      <c r="G134" s="360">
        <f>G135+G137+G142+G139</f>
        <v>250000</v>
      </c>
      <c r="H134" s="343">
        <f t="shared" si="50"/>
        <v>1.6626209556745253</v>
      </c>
      <c r="I134" s="348">
        <f aca="true" t="shared" si="51" ref="I134:P134">I135+I137+I142+I139</f>
        <v>250000</v>
      </c>
      <c r="J134" s="348">
        <f t="shared" si="51"/>
        <v>250000</v>
      </c>
      <c r="K134" s="348">
        <f t="shared" si="51"/>
        <v>0</v>
      </c>
      <c r="L134" s="348">
        <f t="shared" si="51"/>
        <v>0</v>
      </c>
      <c r="M134" s="348">
        <f t="shared" si="51"/>
        <v>0</v>
      </c>
      <c r="N134" s="348">
        <f t="shared" si="51"/>
        <v>0</v>
      </c>
      <c r="O134" s="348">
        <f t="shared" si="51"/>
        <v>0</v>
      </c>
      <c r="P134" s="348">
        <f t="shared" si="51"/>
        <v>0</v>
      </c>
    </row>
    <row r="135" spans="1:16" ht="18.75" customHeight="1">
      <c r="A135" s="238"/>
      <c r="B135" s="388">
        <v>90001</v>
      </c>
      <c r="C135" s="243"/>
      <c r="D135" s="372" t="s">
        <v>275</v>
      </c>
      <c r="E135" s="115">
        <f>E136</f>
        <v>120000</v>
      </c>
      <c r="F135" s="383">
        <f>F136</f>
        <v>120000</v>
      </c>
      <c r="G135" s="354">
        <f>G136</f>
        <v>0</v>
      </c>
      <c r="H135" s="334">
        <f t="shared" si="50"/>
        <v>0</v>
      </c>
      <c r="I135" s="115">
        <f aca="true" t="shared" si="52" ref="I135:P135">I136</f>
        <v>0</v>
      </c>
      <c r="J135" s="115">
        <f t="shared" si="52"/>
        <v>0</v>
      </c>
      <c r="K135" s="115">
        <f t="shared" si="52"/>
        <v>0</v>
      </c>
      <c r="L135" s="115">
        <f t="shared" si="52"/>
        <v>0</v>
      </c>
      <c r="M135" s="115">
        <f t="shared" si="52"/>
        <v>0</v>
      </c>
      <c r="N135" s="115">
        <f t="shared" si="52"/>
        <v>0</v>
      </c>
      <c r="O135" s="115">
        <f t="shared" si="52"/>
        <v>0</v>
      </c>
      <c r="P135" s="115">
        <f t="shared" si="52"/>
        <v>0</v>
      </c>
    </row>
    <row r="136" spans="1:16" ht="51">
      <c r="A136" s="66"/>
      <c r="B136" s="367"/>
      <c r="C136" s="368" t="s">
        <v>235</v>
      </c>
      <c r="D136" s="369" t="s">
        <v>233</v>
      </c>
      <c r="E136" s="241">
        <v>120000</v>
      </c>
      <c r="F136" s="332">
        <v>120000</v>
      </c>
      <c r="G136" s="358">
        <f>I136+L136</f>
        <v>0</v>
      </c>
      <c r="H136" s="336">
        <f t="shared" si="50"/>
        <v>0</v>
      </c>
      <c r="I136" s="241"/>
      <c r="J136" s="241">
        <f>G136</f>
        <v>0</v>
      </c>
      <c r="K136" s="241"/>
      <c r="L136" s="241">
        <f>SUM(M136:P136)</f>
        <v>0</v>
      </c>
      <c r="M136" s="241"/>
      <c r="N136" s="241"/>
      <c r="O136" s="241"/>
      <c r="P136" s="241"/>
    </row>
    <row r="137" spans="1:16" ht="17.25" customHeight="1">
      <c r="A137" s="66"/>
      <c r="B137" s="388">
        <v>90002</v>
      </c>
      <c r="C137" s="243"/>
      <c r="D137" s="372" t="s">
        <v>371</v>
      </c>
      <c r="E137" s="115">
        <f>E138</f>
        <v>26400</v>
      </c>
      <c r="F137" s="383">
        <f>F138</f>
        <v>26400</v>
      </c>
      <c r="G137" s="354">
        <f>G138</f>
        <v>0</v>
      </c>
      <c r="H137" s="334">
        <f t="shared" si="50"/>
        <v>0</v>
      </c>
      <c r="I137" s="115">
        <f aca="true" t="shared" si="53" ref="I137:P137">I138</f>
        <v>0</v>
      </c>
      <c r="J137" s="115">
        <f t="shared" si="53"/>
        <v>0</v>
      </c>
      <c r="K137" s="115">
        <f t="shared" si="53"/>
        <v>0</v>
      </c>
      <c r="L137" s="115">
        <f t="shared" si="53"/>
        <v>0</v>
      </c>
      <c r="M137" s="115">
        <f t="shared" si="53"/>
        <v>0</v>
      </c>
      <c r="N137" s="115">
        <f t="shared" si="53"/>
        <v>0</v>
      </c>
      <c r="O137" s="115">
        <f t="shared" si="53"/>
        <v>0</v>
      </c>
      <c r="P137" s="115">
        <f t="shared" si="53"/>
        <v>0</v>
      </c>
    </row>
    <row r="138" spans="1:16" ht="51">
      <c r="A138" s="66"/>
      <c r="B138" s="367"/>
      <c r="C138" s="368" t="s">
        <v>235</v>
      </c>
      <c r="D138" s="369" t="s">
        <v>233</v>
      </c>
      <c r="E138" s="241">
        <v>26400</v>
      </c>
      <c r="F138" s="332">
        <v>26400</v>
      </c>
      <c r="G138" s="358">
        <f>I138+L138</f>
        <v>0</v>
      </c>
      <c r="H138" s="336">
        <f t="shared" si="50"/>
        <v>0</v>
      </c>
      <c r="I138" s="241"/>
      <c r="J138" s="241">
        <f>G138</f>
        <v>0</v>
      </c>
      <c r="K138" s="241"/>
      <c r="L138" s="241">
        <f>SUM(M138:P138)</f>
        <v>0</v>
      </c>
      <c r="M138" s="241"/>
      <c r="N138" s="241"/>
      <c r="O138" s="241"/>
      <c r="P138" s="241"/>
    </row>
    <row r="139" spans="1:16" ht="28.5">
      <c r="A139" s="66"/>
      <c r="B139" s="388">
        <v>90005</v>
      </c>
      <c r="C139" s="243"/>
      <c r="D139" s="372" t="s">
        <v>369</v>
      </c>
      <c r="E139" s="115">
        <f>E140</f>
        <v>0</v>
      </c>
      <c r="F139" s="383">
        <f>F140</f>
        <v>0</v>
      </c>
      <c r="G139" s="354">
        <f>SUM(G140:G141)</f>
        <v>250000</v>
      </c>
      <c r="H139" s="334"/>
      <c r="I139" s="115">
        <f>SUM(I140:I141)</f>
        <v>250000</v>
      </c>
      <c r="J139" s="115">
        <f aca="true" t="shared" si="54" ref="J139:P139">SUM(J140:J141)</f>
        <v>250000</v>
      </c>
      <c r="K139" s="115">
        <f t="shared" si="54"/>
        <v>0</v>
      </c>
      <c r="L139" s="115">
        <f t="shared" si="54"/>
        <v>0</v>
      </c>
      <c r="M139" s="115">
        <f t="shared" si="54"/>
        <v>0</v>
      </c>
      <c r="N139" s="115">
        <f t="shared" si="54"/>
        <v>0</v>
      </c>
      <c r="O139" s="115">
        <f t="shared" si="54"/>
        <v>0</v>
      </c>
      <c r="P139" s="115">
        <f t="shared" si="54"/>
        <v>0</v>
      </c>
    </row>
    <row r="140" spans="1:16" ht="51">
      <c r="A140" s="66"/>
      <c r="B140" s="99"/>
      <c r="C140" s="100" t="s">
        <v>235</v>
      </c>
      <c r="D140" s="101" t="s">
        <v>233</v>
      </c>
      <c r="E140" s="102"/>
      <c r="F140" s="327"/>
      <c r="G140" s="356">
        <f>I140+L140</f>
        <v>50000</v>
      </c>
      <c r="H140" s="335"/>
      <c r="I140" s="102">
        <f>J140+K140</f>
        <v>50000</v>
      </c>
      <c r="J140" s="102">
        <v>50000</v>
      </c>
      <c r="K140" s="102"/>
      <c r="L140" s="102">
        <f>SUM(M140:P140)</f>
        <v>0</v>
      </c>
      <c r="M140" s="102"/>
      <c r="N140" s="102"/>
      <c r="O140" s="102"/>
      <c r="P140" s="102"/>
    </row>
    <row r="141" spans="1:16" ht="38.25">
      <c r="A141" s="66"/>
      <c r="B141" s="73"/>
      <c r="C141" s="73">
        <v>6298</v>
      </c>
      <c r="D141" s="304" t="s">
        <v>234</v>
      </c>
      <c r="E141" s="83"/>
      <c r="F141" s="331"/>
      <c r="G141" s="359">
        <f>I141+L141</f>
        <v>200000</v>
      </c>
      <c r="H141" s="377"/>
      <c r="I141" s="83">
        <f>J141+K141</f>
        <v>200000</v>
      </c>
      <c r="J141" s="83">
        <v>200000</v>
      </c>
      <c r="K141" s="83"/>
      <c r="L141" s="83">
        <f>SUM(M141:P141)</f>
        <v>0</v>
      </c>
      <c r="M141" s="83"/>
      <c r="N141" s="83"/>
      <c r="O141" s="83"/>
      <c r="P141" s="83"/>
    </row>
    <row r="142" spans="1:16" ht="26.25" customHeight="1">
      <c r="A142" s="238"/>
      <c r="B142" s="388">
        <v>90008</v>
      </c>
      <c r="C142" s="243"/>
      <c r="D142" s="372" t="s">
        <v>40</v>
      </c>
      <c r="E142" s="115">
        <f>E143</f>
        <v>3965</v>
      </c>
      <c r="F142" s="383">
        <f>F143</f>
        <v>3965</v>
      </c>
      <c r="G142" s="354">
        <f>G143</f>
        <v>0</v>
      </c>
      <c r="H142" s="334">
        <f>G142/F142</f>
        <v>0</v>
      </c>
      <c r="I142" s="115">
        <f aca="true" t="shared" si="55" ref="I142:P142">I143</f>
        <v>0</v>
      </c>
      <c r="J142" s="115">
        <f t="shared" si="55"/>
        <v>0</v>
      </c>
      <c r="K142" s="115">
        <f t="shared" si="55"/>
        <v>0</v>
      </c>
      <c r="L142" s="115">
        <f t="shared" si="55"/>
        <v>0</v>
      </c>
      <c r="M142" s="115">
        <f t="shared" si="55"/>
        <v>0</v>
      </c>
      <c r="N142" s="115">
        <f t="shared" si="55"/>
        <v>0</v>
      </c>
      <c r="O142" s="115">
        <f t="shared" si="55"/>
        <v>0</v>
      </c>
      <c r="P142" s="115">
        <f t="shared" si="55"/>
        <v>0</v>
      </c>
    </row>
    <row r="143" spans="1:16" ht="51">
      <c r="A143" s="68"/>
      <c r="B143" s="367"/>
      <c r="C143" s="100" t="s">
        <v>235</v>
      </c>
      <c r="D143" s="101" t="s">
        <v>233</v>
      </c>
      <c r="E143" s="241">
        <v>3965</v>
      </c>
      <c r="F143" s="332">
        <v>3965</v>
      </c>
      <c r="G143" s="356">
        <f>I143+L143</f>
        <v>0</v>
      </c>
      <c r="H143" s="336">
        <f>G143/F143</f>
        <v>0</v>
      </c>
      <c r="I143" s="241"/>
      <c r="J143" s="241">
        <f>G143</f>
        <v>0</v>
      </c>
      <c r="K143" s="241"/>
      <c r="L143" s="102">
        <f>SUM(M143:P143)</f>
        <v>0</v>
      </c>
      <c r="M143" s="241"/>
      <c r="N143" s="241"/>
      <c r="O143" s="241"/>
      <c r="P143" s="241"/>
    </row>
    <row r="144" spans="1:16" s="79" customFormat="1" ht="30">
      <c r="A144" s="345">
        <v>921</v>
      </c>
      <c r="B144" s="347"/>
      <c r="C144" s="347"/>
      <c r="D144" s="346" t="s">
        <v>276</v>
      </c>
      <c r="E144" s="348">
        <f aca="true" t="shared" si="56" ref="E144:P144">E145+E147</f>
        <v>253620</v>
      </c>
      <c r="F144" s="349">
        <f>F145+F147</f>
        <v>253620</v>
      </c>
      <c r="G144" s="360">
        <f t="shared" si="56"/>
        <v>20000</v>
      </c>
      <c r="H144" s="343">
        <f>G144/F144</f>
        <v>0.07885813421654443</v>
      </c>
      <c r="I144" s="348">
        <f t="shared" si="56"/>
        <v>20000</v>
      </c>
      <c r="J144" s="348">
        <f t="shared" si="56"/>
        <v>20000</v>
      </c>
      <c r="K144" s="348">
        <f t="shared" si="56"/>
        <v>0</v>
      </c>
      <c r="L144" s="348">
        <f t="shared" si="56"/>
        <v>0</v>
      </c>
      <c r="M144" s="348">
        <f t="shared" si="56"/>
        <v>0</v>
      </c>
      <c r="N144" s="348">
        <f t="shared" si="56"/>
        <v>0</v>
      </c>
      <c r="O144" s="348">
        <f>O145+O147</f>
        <v>0</v>
      </c>
      <c r="P144" s="348">
        <f t="shared" si="56"/>
        <v>0</v>
      </c>
    </row>
    <row r="145" spans="1:16" ht="21" customHeight="1">
      <c r="A145" s="238"/>
      <c r="B145" s="388">
        <v>92109</v>
      </c>
      <c r="C145" s="243"/>
      <c r="D145" s="372" t="s">
        <v>277</v>
      </c>
      <c r="E145" s="115">
        <f aca="true" t="shared" si="57" ref="E145:P145">E146</f>
        <v>253620</v>
      </c>
      <c r="F145" s="383">
        <f t="shared" si="57"/>
        <v>253620</v>
      </c>
      <c r="G145" s="354">
        <f t="shared" si="57"/>
        <v>0</v>
      </c>
      <c r="H145" s="334"/>
      <c r="I145" s="115">
        <f t="shared" si="57"/>
        <v>0</v>
      </c>
      <c r="J145" s="115">
        <f t="shared" si="57"/>
        <v>0</v>
      </c>
      <c r="K145" s="115">
        <f t="shared" si="57"/>
        <v>0</v>
      </c>
      <c r="L145" s="115">
        <f t="shared" si="57"/>
        <v>0</v>
      </c>
      <c r="M145" s="115">
        <f t="shared" si="57"/>
        <v>0</v>
      </c>
      <c r="N145" s="115">
        <f t="shared" si="57"/>
        <v>0</v>
      </c>
      <c r="O145" s="115">
        <f t="shared" si="57"/>
        <v>0</v>
      </c>
      <c r="P145" s="115">
        <f t="shared" si="57"/>
        <v>0</v>
      </c>
    </row>
    <row r="146" spans="1:16" ht="38.25">
      <c r="A146" s="66"/>
      <c r="B146" s="367"/>
      <c r="C146" s="367">
        <v>6298</v>
      </c>
      <c r="D146" s="371" t="s">
        <v>234</v>
      </c>
      <c r="E146" s="241">
        <v>253620</v>
      </c>
      <c r="F146" s="332">
        <v>253620</v>
      </c>
      <c r="G146" s="358">
        <f>I146+L146</f>
        <v>0</v>
      </c>
      <c r="H146" s="336"/>
      <c r="I146" s="241">
        <f>J146+K146</f>
        <v>0</v>
      </c>
      <c r="J146" s="241"/>
      <c r="K146" s="241"/>
      <c r="L146" s="241">
        <f>SUM(M146:P146)</f>
        <v>0</v>
      </c>
      <c r="M146" s="241"/>
      <c r="N146" s="241"/>
      <c r="O146" s="241"/>
      <c r="P146" s="241"/>
    </row>
    <row r="147" spans="1:16" ht="16.5" customHeight="1">
      <c r="A147" s="68"/>
      <c r="B147" s="388">
        <v>92116</v>
      </c>
      <c r="C147" s="243"/>
      <c r="D147" s="372" t="s">
        <v>280</v>
      </c>
      <c r="E147" s="115">
        <f aca="true" t="shared" si="58" ref="E147:P147">SUM(E148:E149)</f>
        <v>0</v>
      </c>
      <c r="F147" s="383">
        <f>SUM(F148:F149)</f>
        <v>0</v>
      </c>
      <c r="G147" s="354">
        <f t="shared" si="58"/>
        <v>20000</v>
      </c>
      <c r="H147" s="334"/>
      <c r="I147" s="115">
        <f t="shared" si="58"/>
        <v>20000</v>
      </c>
      <c r="J147" s="115">
        <f t="shared" si="58"/>
        <v>20000</v>
      </c>
      <c r="K147" s="115">
        <f t="shared" si="58"/>
        <v>0</v>
      </c>
      <c r="L147" s="115">
        <f t="shared" si="58"/>
        <v>0</v>
      </c>
      <c r="M147" s="115">
        <f t="shared" si="58"/>
        <v>0</v>
      </c>
      <c r="N147" s="115">
        <f t="shared" si="58"/>
        <v>0</v>
      </c>
      <c r="O147" s="115">
        <f>SUM(O148:O149)</f>
        <v>0</v>
      </c>
      <c r="P147" s="115">
        <f t="shared" si="58"/>
        <v>0</v>
      </c>
    </row>
    <row r="148" spans="1:16" ht="38.25">
      <c r="A148" s="68"/>
      <c r="B148" s="239"/>
      <c r="C148" s="100" t="s">
        <v>413</v>
      </c>
      <c r="D148" s="371" t="s">
        <v>258</v>
      </c>
      <c r="E148" s="102"/>
      <c r="F148" s="327"/>
      <c r="G148" s="356">
        <f>I148+L148</f>
        <v>20000</v>
      </c>
      <c r="H148" s="335"/>
      <c r="I148" s="102">
        <f>J148+K148</f>
        <v>20000</v>
      </c>
      <c r="J148" s="241">
        <v>20000</v>
      </c>
      <c r="K148" s="241"/>
      <c r="L148" s="102">
        <f>SUM(M148:P148)</f>
        <v>0</v>
      </c>
      <c r="M148" s="241"/>
      <c r="N148" s="241"/>
      <c r="O148" s="241"/>
      <c r="P148" s="241"/>
    </row>
    <row r="149" spans="1:16" ht="26.25" customHeight="1" hidden="1">
      <c r="A149" s="68"/>
      <c r="B149" s="73"/>
      <c r="C149" s="73">
        <v>6298</v>
      </c>
      <c r="D149" s="303" t="s">
        <v>234</v>
      </c>
      <c r="E149" s="84"/>
      <c r="F149" s="326"/>
      <c r="G149" s="355">
        <f>I149+L149</f>
        <v>0</v>
      </c>
      <c r="H149" s="336"/>
      <c r="I149" s="84">
        <f>J149+K149</f>
        <v>0</v>
      </c>
      <c r="J149" s="83"/>
      <c r="K149" s="83"/>
      <c r="L149" s="84">
        <f>SUM(M149:P149)</f>
        <v>0</v>
      </c>
      <c r="M149" s="83"/>
      <c r="N149" s="83"/>
      <c r="O149" s="83"/>
      <c r="P149" s="83"/>
    </row>
    <row r="150" spans="1:16" s="79" customFormat="1" ht="24.75" customHeight="1">
      <c r="A150" s="345">
        <v>926</v>
      </c>
      <c r="B150" s="347"/>
      <c r="C150" s="347"/>
      <c r="D150" s="346" t="s">
        <v>381</v>
      </c>
      <c r="E150" s="348">
        <f>E151</f>
        <v>0</v>
      </c>
      <c r="F150" s="349">
        <f>F151</f>
        <v>0</v>
      </c>
      <c r="G150" s="360">
        <f>G151</f>
        <v>180000</v>
      </c>
      <c r="H150" s="343"/>
      <c r="I150" s="348">
        <f aca="true" t="shared" si="59" ref="I150:P150">I151</f>
        <v>180000</v>
      </c>
      <c r="J150" s="348">
        <f t="shared" si="59"/>
        <v>180000</v>
      </c>
      <c r="K150" s="348">
        <f t="shared" si="59"/>
        <v>0</v>
      </c>
      <c r="L150" s="348">
        <f t="shared" si="59"/>
        <v>0</v>
      </c>
      <c r="M150" s="348">
        <f t="shared" si="59"/>
        <v>0</v>
      </c>
      <c r="N150" s="348">
        <f t="shared" si="59"/>
        <v>0</v>
      </c>
      <c r="O150" s="348">
        <f t="shared" si="59"/>
        <v>0</v>
      </c>
      <c r="P150" s="348">
        <f t="shared" si="59"/>
        <v>0</v>
      </c>
    </row>
    <row r="151" spans="1:16" ht="16.5" customHeight="1">
      <c r="A151" s="238"/>
      <c r="B151" s="388">
        <v>92601</v>
      </c>
      <c r="C151" s="243"/>
      <c r="D151" s="372" t="s">
        <v>548</v>
      </c>
      <c r="E151" s="115">
        <f>E153</f>
        <v>0</v>
      </c>
      <c r="F151" s="383">
        <f>F153</f>
        <v>0</v>
      </c>
      <c r="G151" s="354">
        <f>SUM(G152:G153)</f>
        <v>180000</v>
      </c>
      <c r="H151" s="334"/>
      <c r="I151" s="115">
        <f>SUM(I152:I153)</f>
        <v>180000</v>
      </c>
      <c r="J151" s="115">
        <f>SUM(J152:J153)</f>
        <v>180000</v>
      </c>
      <c r="K151" s="115">
        <f aca="true" t="shared" si="60" ref="K151:P151">SUM(K152:K153)</f>
        <v>0</v>
      </c>
      <c r="L151" s="115">
        <f t="shared" si="60"/>
        <v>0</v>
      </c>
      <c r="M151" s="115">
        <f t="shared" si="60"/>
        <v>0</v>
      </c>
      <c r="N151" s="115">
        <f t="shared" si="60"/>
        <v>0</v>
      </c>
      <c r="O151" s="115">
        <f t="shared" si="60"/>
        <v>0</v>
      </c>
      <c r="P151" s="115">
        <f t="shared" si="60"/>
        <v>0</v>
      </c>
    </row>
    <row r="152" spans="1:16" ht="38.25">
      <c r="A152" s="68"/>
      <c r="B152" s="239"/>
      <c r="C152" s="100" t="s">
        <v>413</v>
      </c>
      <c r="D152" s="371" t="s">
        <v>258</v>
      </c>
      <c r="E152" s="102"/>
      <c r="F152" s="327"/>
      <c r="G152" s="356">
        <f>I152+L152</f>
        <v>30000</v>
      </c>
      <c r="H152" s="335"/>
      <c r="I152" s="102">
        <f>J152+K152</f>
        <v>30000</v>
      </c>
      <c r="J152" s="241">
        <v>30000</v>
      </c>
      <c r="K152" s="241"/>
      <c r="L152" s="102">
        <f>SUM(M152:P152)</f>
        <v>0</v>
      </c>
      <c r="M152" s="241"/>
      <c r="N152" s="241"/>
      <c r="O152" s="241"/>
      <c r="P152" s="241"/>
    </row>
    <row r="153" spans="1:16" ht="39" thickBot="1">
      <c r="A153" s="66"/>
      <c r="B153" s="30"/>
      <c r="C153" s="30">
        <v>6298</v>
      </c>
      <c r="D153" s="303" t="s">
        <v>234</v>
      </c>
      <c r="E153" s="84"/>
      <c r="F153" s="326"/>
      <c r="G153" s="355">
        <f>I153+L153</f>
        <v>150000</v>
      </c>
      <c r="H153" s="335"/>
      <c r="I153" s="84">
        <f>J153+K153</f>
        <v>150000</v>
      </c>
      <c r="J153" s="84">
        <v>150000</v>
      </c>
      <c r="K153" s="84"/>
      <c r="L153" s="84">
        <f>SUM(M153:P153)</f>
        <v>0</v>
      </c>
      <c r="M153" s="84"/>
      <c r="N153" s="84"/>
      <c r="O153" s="84"/>
      <c r="P153" s="84"/>
    </row>
    <row r="154" spans="1:17" s="54" customFormat="1" ht="21.75" customHeight="1" thickBot="1">
      <c r="A154" s="666" t="s">
        <v>136</v>
      </c>
      <c r="B154" s="667"/>
      <c r="C154" s="667"/>
      <c r="D154" s="668"/>
      <c r="E154" s="350">
        <f>E7+E17+E21+E26+E29+E36+E44+E53+E56+E59+E91+E107+E113+E131+E134+E144+E102+E150</f>
        <v>18173551</v>
      </c>
      <c r="F154" s="351">
        <f>F7+F17+F21+F26+F29+F36+F44+F53+F56+F59+F91+F107+F113+F131+F134+F144+F102+F150</f>
        <v>17541168</v>
      </c>
      <c r="G154" s="352">
        <f>G7+G17+G21+G26+G29+G36+G44+G53+G56+G59+G91+G107+G113+G131+G134+G144+G102+G150</f>
        <v>21210689</v>
      </c>
      <c r="H154" s="353">
        <f>G154/F154</f>
        <v>1.2091947925018447</v>
      </c>
      <c r="I154" s="350">
        <f aca="true" t="shared" si="61" ref="I154:P154">I7+I17+I21+I26+I29+I36+I44+I53+I56+I59+I91+I107+I113+I131+I134+I144+I102+I150</f>
        <v>8391472</v>
      </c>
      <c r="J154" s="350">
        <f t="shared" si="61"/>
        <v>8163000</v>
      </c>
      <c r="K154" s="350">
        <f t="shared" si="61"/>
        <v>228472</v>
      </c>
      <c r="L154" s="350">
        <f t="shared" si="61"/>
        <v>12819217</v>
      </c>
      <c r="M154" s="350">
        <f t="shared" si="61"/>
        <v>2685457</v>
      </c>
      <c r="N154" s="350">
        <f t="shared" si="61"/>
        <v>5246651</v>
      </c>
      <c r="O154" s="350">
        <f t="shared" si="61"/>
        <v>1888198</v>
      </c>
      <c r="P154" s="350">
        <f t="shared" si="61"/>
        <v>2998911</v>
      </c>
      <c r="Q154" s="103"/>
    </row>
    <row r="155" spans="2:17" ht="12.75">
      <c r="B155" s="3"/>
      <c r="C155" s="3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04"/>
    </row>
    <row r="156" spans="1:17" ht="12.75">
      <c r="A156" s="70"/>
      <c r="B156" s="3"/>
      <c r="C156" s="3"/>
      <c r="D156" s="44" t="s">
        <v>472</v>
      </c>
      <c r="E156" s="85"/>
      <c r="F156" s="85"/>
      <c r="G156" s="85"/>
      <c r="H156" s="85"/>
      <c r="I156" s="85"/>
      <c r="J156" s="1"/>
      <c r="K156" s="85"/>
      <c r="L156" s="85"/>
      <c r="M156" s="1"/>
      <c r="N156" s="1"/>
      <c r="O156" s="85"/>
      <c r="P156" s="1"/>
      <c r="Q156" s="104"/>
    </row>
    <row r="157" spans="2:16" ht="12.75">
      <c r="B157" s="74"/>
      <c r="C157" s="3"/>
      <c r="D157" s="1"/>
      <c r="E157" s="85"/>
      <c r="F157" s="85"/>
      <c r="G157" s="85"/>
      <c r="H157" s="85"/>
      <c r="I157" s="1"/>
      <c r="J157" s="1"/>
      <c r="K157" s="1"/>
      <c r="L157" s="1"/>
      <c r="M157" s="1"/>
      <c r="N157" s="1"/>
      <c r="O157" s="85"/>
      <c r="P157" s="1"/>
    </row>
    <row r="158" spans="2:16" ht="12.75">
      <c r="B158" s="3"/>
      <c r="C158" s="3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2:16" ht="12.75">
      <c r="B159" s="3"/>
      <c r="C159" s="3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2:16" ht="12.75">
      <c r="B160" s="3"/>
      <c r="C160" s="3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2:16" ht="12.75">
      <c r="B161" s="3"/>
      <c r="C161" s="3"/>
      <c r="D161" s="1"/>
      <c r="E161" s="1"/>
      <c r="F161" s="1"/>
      <c r="G161" s="1"/>
      <c r="H161" s="1"/>
      <c r="I161" s="1"/>
      <c r="J161" s="85"/>
      <c r="K161" s="1"/>
      <c r="L161" s="1"/>
      <c r="M161" s="1"/>
      <c r="N161" s="1"/>
      <c r="O161" s="1"/>
      <c r="P161" s="1"/>
    </row>
    <row r="162" spans="2:16" ht="12.75">
      <c r="B162" s="3"/>
      <c r="C162" s="3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2:16" ht="12.75">
      <c r="B163" s="3"/>
      <c r="C163" s="3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2:16" ht="12.75">
      <c r="B164" s="3"/>
      <c r="C164" s="3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2:16" ht="12.75">
      <c r="B165" s="3"/>
      <c r="C165" s="3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2:16" ht="12.75">
      <c r="B166" s="3"/>
      <c r="C166" s="3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2:16" ht="12.75">
      <c r="B167" s="3"/>
      <c r="C167" s="3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2:16" ht="12.75">
      <c r="B168" s="3"/>
      <c r="C168" s="3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2:16" ht="12.75">
      <c r="B169" s="3"/>
      <c r="C169" s="3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2:16" ht="12.75">
      <c r="B170" s="3"/>
      <c r="C170" s="3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2:16" ht="12.75">
      <c r="B171" s="3"/>
      <c r="C171" s="3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2:16" ht="12.75">
      <c r="B172" s="3"/>
      <c r="C172" s="3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2:16" ht="12.75">
      <c r="B173" s="3"/>
      <c r="C173" s="3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2:16" ht="12.75">
      <c r="B174" s="3"/>
      <c r="C174" s="3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2:16" ht="12.75">
      <c r="B175" s="3"/>
      <c r="C175" s="3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2:16" ht="12.75">
      <c r="B176" s="3"/>
      <c r="C176" s="3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2:16" ht="12.75">
      <c r="B177" s="3"/>
      <c r="C177" s="3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2:16" ht="12.75">
      <c r="B178" s="3"/>
      <c r="C178" s="3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2:16" ht="12.75">
      <c r="B179" s="3"/>
      <c r="C179" s="3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2:16" ht="12.75">
      <c r="B180" s="3"/>
      <c r="C180" s="3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2:16" ht="12.75">
      <c r="B181" s="3"/>
      <c r="C181" s="3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2:16" ht="12.75">
      <c r="B182" s="3"/>
      <c r="C182" s="3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2:16" ht="12.75">
      <c r="B183" s="3"/>
      <c r="C183" s="3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2:16" ht="12.75">
      <c r="B184" s="3"/>
      <c r="C184" s="3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2:16" ht="12.75">
      <c r="B185" s="3"/>
      <c r="C185" s="3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2:16" ht="12.75">
      <c r="B186" s="3"/>
      <c r="C186" s="3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2:16" ht="12.75">
      <c r="B187" s="3"/>
      <c r="C187" s="3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2:16" ht="12.75">
      <c r="B188" s="3"/>
      <c r="C188" s="3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</row>
  </sheetData>
  <mergeCells count="13">
    <mergeCell ref="A154:D154"/>
    <mergeCell ref="B2:G2"/>
    <mergeCell ref="A4:A5"/>
    <mergeCell ref="B4:B5"/>
    <mergeCell ref="C4:C5"/>
    <mergeCell ref="D4:D5"/>
    <mergeCell ref="G4:G5"/>
    <mergeCell ref="E4:E5"/>
    <mergeCell ref="F4:F5"/>
    <mergeCell ref="I4:I5"/>
    <mergeCell ref="L4:L5"/>
    <mergeCell ref="J4:K4"/>
    <mergeCell ref="H4:H5"/>
  </mergeCells>
  <printOptions horizontalCentered="1"/>
  <pageMargins left="0.2" right="0.2" top="0.76" bottom="0.4724409448818898" header="0.29" footer="0.31496062992125984"/>
  <pageSetup horizontalDpi="300" verticalDpi="300" orientation="landscape" paperSize="9" scale="70" r:id="rId1"/>
  <headerFooter alignWithMargins="0">
    <oddHeader>&amp;R&amp;"Arial CE,Pogrubiony"Załącznik nr &amp;A&amp;"Arial CE,Standardowy"&amp;9
do Uchwały Rady Gminy w Miłkowicach Nr .........../2007
z dnia............... 2007 roku</oddHeader>
    <oddFooter>&amp;CStrona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BZ16"/>
  <sheetViews>
    <sheetView showGridLines="0" workbookViewId="0" topLeftCell="A1">
      <selection activeCell="K15" sqref="K15"/>
    </sheetView>
  </sheetViews>
  <sheetFormatPr defaultColWidth="9.00390625" defaultRowHeight="12.75"/>
  <cols>
    <col min="1" max="1" width="7.25390625" style="1" customWidth="1"/>
    <col min="2" max="2" width="9.00390625" style="1" customWidth="1"/>
    <col min="3" max="3" width="31.25390625" style="1" customWidth="1"/>
    <col min="4" max="4" width="8.875" style="1" customWidth="1"/>
    <col min="5" max="5" width="10.25390625" style="1" customWidth="1"/>
    <col min="6" max="6" width="10.875" style="1" customWidth="1"/>
    <col min="7" max="7" width="15.75390625" style="0" customWidth="1"/>
    <col min="8" max="8" width="10.375" style="0" customWidth="1"/>
    <col min="9" max="9" width="11.75390625" style="0" customWidth="1"/>
    <col min="79" max="16384" width="9.125" style="1" customWidth="1"/>
  </cols>
  <sheetData>
    <row r="1" spans="1:9" ht="45" customHeight="1">
      <c r="A1" s="865" t="s">
        <v>500</v>
      </c>
      <c r="B1" s="865"/>
      <c r="C1" s="865"/>
      <c r="D1" s="865"/>
      <c r="E1" s="865"/>
      <c r="F1" s="865"/>
      <c r="G1" s="865"/>
      <c r="H1" s="865"/>
      <c r="I1" s="865"/>
    </row>
    <row r="3" ht="12.75">
      <c r="I3" s="51" t="s">
        <v>97</v>
      </c>
    </row>
    <row r="4" spans="1:78" ht="20.25" customHeight="1">
      <c r="A4" s="821" t="s">
        <v>59</v>
      </c>
      <c r="B4" s="866" t="s">
        <v>60</v>
      </c>
      <c r="C4" s="866" t="s">
        <v>57</v>
      </c>
      <c r="D4" s="864" t="s">
        <v>415</v>
      </c>
      <c r="E4" s="864" t="s">
        <v>394</v>
      </c>
      <c r="F4" s="864" t="s">
        <v>120</v>
      </c>
      <c r="G4" s="864"/>
      <c r="H4" s="864"/>
      <c r="I4" s="864"/>
      <c r="BW4" s="1"/>
      <c r="BX4" s="1"/>
      <c r="BY4" s="1"/>
      <c r="BZ4" s="1"/>
    </row>
    <row r="5" spans="1:78" ht="18" customHeight="1">
      <c r="A5" s="821"/>
      <c r="B5" s="867"/>
      <c r="C5" s="867"/>
      <c r="D5" s="821"/>
      <c r="E5" s="864"/>
      <c r="F5" s="864" t="s">
        <v>133</v>
      </c>
      <c r="G5" s="864"/>
      <c r="H5" s="864"/>
      <c r="I5" s="864" t="s">
        <v>134</v>
      </c>
      <c r="BW5" s="1"/>
      <c r="BX5" s="1"/>
      <c r="BY5" s="1"/>
      <c r="BZ5" s="1"/>
    </row>
    <row r="6" spans="1:78" ht="69" customHeight="1">
      <c r="A6" s="821"/>
      <c r="B6" s="868"/>
      <c r="C6" s="868"/>
      <c r="D6" s="821"/>
      <c r="E6" s="864"/>
      <c r="F6" s="864"/>
      <c r="G6" s="16" t="s">
        <v>393</v>
      </c>
      <c r="H6" s="16" t="s">
        <v>132</v>
      </c>
      <c r="I6" s="864"/>
      <c r="BW6" s="1"/>
      <c r="BX6" s="1"/>
      <c r="BY6" s="1"/>
      <c r="BZ6" s="1"/>
    </row>
    <row r="7" spans="1:78" ht="8.25" customHeight="1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  <c r="BW7" s="1"/>
      <c r="BX7" s="1"/>
      <c r="BY7" s="1"/>
      <c r="BZ7" s="1"/>
    </row>
    <row r="8" spans="1:78" ht="24.75" customHeight="1">
      <c r="A8" s="862" t="s">
        <v>416</v>
      </c>
      <c r="B8" s="863"/>
      <c r="C8" s="869"/>
      <c r="D8" s="136">
        <f>SUM(D9)</f>
        <v>63300</v>
      </c>
      <c r="E8" s="115"/>
      <c r="F8" s="115"/>
      <c r="G8" s="115"/>
      <c r="H8" s="115"/>
      <c r="I8" s="115"/>
      <c r="BW8" s="1"/>
      <c r="BX8" s="1"/>
      <c r="BY8" s="1"/>
      <c r="BZ8" s="1"/>
    </row>
    <row r="9" spans="1:78" ht="51">
      <c r="A9" s="22">
        <v>756</v>
      </c>
      <c r="B9" s="22">
        <v>75618</v>
      </c>
      <c r="C9" s="145" t="s">
        <v>219</v>
      </c>
      <c r="D9" s="115">
        <v>63300</v>
      </c>
      <c r="E9" s="115"/>
      <c r="F9" s="115"/>
      <c r="G9" s="115"/>
      <c r="H9" s="115"/>
      <c r="I9" s="115"/>
      <c r="BW9" s="1"/>
      <c r="BX9" s="1"/>
      <c r="BY9" s="1"/>
      <c r="BZ9" s="1"/>
    </row>
    <row r="10" spans="1:78" ht="24.75" customHeight="1">
      <c r="A10" s="862" t="s">
        <v>417</v>
      </c>
      <c r="B10" s="863"/>
      <c r="C10" s="869"/>
      <c r="D10" s="136"/>
      <c r="E10" s="146">
        <f>SUM(E11:E12)</f>
        <v>63300</v>
      </c>
      <c r="F10" s="146">
        <f>SUM(F11:F12)</f>
        <v>63300</v>
      </c>
      <c r="G10" s="146">
        <f>SUM(G11:G12)</f>
        <v>9900</v>
      </c>
      <c r="H10" s="146">
        <f>SUM(H11:H12)</f>
        <v>25000</v>
      </c>
      <c r="I10" s="146">
        <f>SUM(I11:I12)</f>
        <v>0</v>
      </c>
      <c r="BW10" s="1"/>
      <c r="BX10" s="1"/>
      <c r="BY10" s="1"/>
      <c r="BZ10" s="1"/>
    </row>
    <row r="11" spans="1:78" ht="21.75" customHeight="1">
      <c r="A11" s="30">
        <v>851</v>
      </c>
      <c r="B11" s="30">
        <v>85153</v>
      </c>
      <c r="C11" s="20" t="s">
        <v>343</v>
      </c>
      <c r="D11" s="84"/>
      <c r="E11" s="84">
        <f>F11+I11</f>
        <v>1000</v>
      </c>
      <c r="F11" s="84">
        <v>1000</v>
      </c>
      <c r="G11" s="84"/>
      <c r="H11" s="84"/>
      <c r="I11" s="84"/>
      <c r="BW11" s="1"/>
      <c r="BX11" s="1"/>
      <c r="BY11" s="1"/>
      <c r="BZ11" s="1"/>
    </row>
    <row r="12" spans="1:78" ht="21.75" customHeight="1">
      <c r="A12" s="30">
        <v>851</v>
      </c>
      <c r="B12" s="30">
        <v>85154</v>
      </c>
      <c r="C12" s="20" t="s">
        <v>345</v>
      </c>
      <c r="D12" s="84"/>
      <c r="E12" s="84">
        <f>F12+I12</f>
        <v>62300</v>
      </c>
      <c r="F12" s="84">
        <v>62300</v>
      </c>
      <c r="G12" s="84">
        <v>9900</v>
      </c>
      <c r="H12" s="84">
        <v>25000</v>
      </c>
      <c r="I12" s="84"/>
      <c r="BW12" s="1"/>
      <c r="BX12" s="1"/>
      <c r="BY12" s="1"/>
      <c r="BZ12" s="1"/>
    </row>
    <row r="13" spans="1:78" ht="10.5" customHeight="1">
      <c r="A13" s="21"/>
      <c r="B13" s="21"/>
      <c r="C13" s="21"/>
      <c r="D13" s="114"/>
      <c r="E13" s="114"/>
      <c r="F13" s="114"/>
      <c r="G13" s="114"/>
      <c r="H13" s="114"/>
      <c r="I13" s="114"/>
      <c r="BW13" s="1"/>
      <c r="BX13" s="1"/>
      <c r="BY13" s="1"/>
      <c r="BZ13" s="1"/>
    </row>
    <row r="16" spans="1:2" ht="12.75">
      <c r="A16" s="58"/>
      <c r="B16" s="44" t="s">
        <v>472</v>
      </c>
    </row>
  </sheetData>
  <mergeCells count="12">
    <mergeCell ref="G5:H5"/>
    <mergeCell ref="I5:I6"/>
    <mergeCell ref="A10:C10"/>
    <mergeCell ref="A8:C8"/>
    <mergeCell ref="A1:I1"/>
    <mergeCell ref="A4:A6"/>
    <mergeCell ref="B4:B6"/>
    <mergeCell ref="C4:C6"/>
    <mergeCell ref="D4:D6"/>
    <mergeCell ref="E4:E6"/>
    <mergeCell ref="F4:I4"/>
    <mergeCell ref="F5:F6"/>
  </mergeCells>
  <printOptions horizontalCentered="1"/>
  <pageMargins left="0.5905511811023623" right="0.5905511811023623" top="1.1" bottom="0.3937007874015748" header="0.5118110236220472" footer="0.5118110236220472"/>
  <pageSetup horizontalDpi="600" verticalDpi="600" orientation="landscape" paperSize="9" scale="90" r:id="rId1"/>
  <headerFooter alignWithMargins="0">
    <oddHeader>&amp;R&amp;"Arial CE,Pogrubiony"Załącznik nr &amp;A&amp;"Arial CE,Standardowy"
do Uchwały Rady Gminy w Miłkowicach Nr ...............
z dnia ..............................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L23"/>
  <sheetViews>
    <sheetView showGridLines="0" workbookViewId="0" topLeftCell="B1">
      <selection activeCell="H14" sqref="H14"/>
    </sheetView>
  </sheetViews>
  <sheetFormatPr defaultColWidth="9.00390625" defaultRowHeight="12.75"/>
  <cols>
    <col min="1" max="1" width="4.75390625" style="0" customWidth="1"/>
    <col min="2" max="2" width="38.25390625" style="0" customWidth="1"/>
    <col min="3" max="3" width="12.75390625" style="0" customWidth="1"/>
    <col min="4" max="4" width="10.75390625" style="0" customWidth="1"/>
    <col min="5" max="5" width="10.25390625" style="0" customWidth="1"/>
    <col min="6" max="6" width="8.75390625" style="0" customWidth="1"/>
    <col min="7" max="7" width="10.875" style="0" customWidth="1"/>
    <col min="8" max="8" width="9.75390625" style="0" customWidth="1"/>
    <col min="9" max="9" width="10.375" style="0" customWidth="1"/>
    <col min="10" max="10" width="10.625" style="0" bestFit="1" customWidth="1"/>
    <col min="11" max="11" width="14.125" style="0" customWidth="1"/>
    <col min="12" max="12" width="13.625" style="0" customWidth="1"/>
  </cols>
  <sheetData>
    <row r="1" spans="1:11" ht="16.5">
      <c r="A1" s="871" t="s">
        <v>395</v>
      </c>
      <c r="B1" s="871"/>
      <c r="C1" s="871"/>
      <c r="D1" s="871"/>
      <c r="E1" s="871"/>
      <c r="F1" s="871"/>
      <c r="G1" s="871"/>
      <c r="H1" s="871"/>
      <c r="I1" s="871"/>
      <c r="J1" s="871"/>
      <c r="K1" s="871"/>
    </row>
    <row r="2" spans="1:11" ht="16.5">
      <c r="A2" s="871" t="s">
        <v>499</v>
      </c>
      <c r="B2" s="871"/>
      <c r="C2" s="871"/>
      <c r="D2" s="871"/>
      <c r="E2" s="871"/>
      <c r="F2" s="871"/>
      <c r="G2" s="871"/>
      <c r="H2" s="871"/>
      <c r="I2" s="871"/>
      <c r="J2" s="871"/>
      <c r="K2" s="871"/>
    </row>
    <row r="3" spans="1:11" ht="6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L4" s="9" t="s">
        <v>97</v>
      </c>
    </row>
    <row r="5" spans="1:12" ht="15" customHeight="1">
      <c r="A5" s="821" t="s">
        <v>112</v>
      </c>
      <c r="B5" s="821" t="s">
        <v>57</v>
      </c>
      <c r="C5" s="872" t="s">
        <v>113</v>
      </c>
      <c r="D5" s="873" t="s">
        <v>66</v>
      </c>
      <c r="E5" s="874"/>
      <c r="F5" s="874"/>
      <c r="G5" s="875"/>
      <c r="H5" s="864" t="s">
        <v>65</v>
      </c>
      <c r="I5" s="864"/>
      <c r="J5" s="864"/>
      <c r="K5" s="864" t="s">
        <v>114</v>
      </c>
      <c r="L5" s="864" t="s">
        <v>153</v>
      </c>
    </row>
    <row r="6" spans="1:12" ht="15" customHeight="1">
      <c r="A6" s="821"/>
      <c r="B6" s="821"/>
      <c r="C6" s="872"/>
      <c r="D6" s="864" t="s">
        <v>64</v>
      </c>
      <c r="E6" s="876" t="s">
        <v>63</v>
      </c>
      <c r="F6" s="877"/>
      <c r="G6" s="878"/>
      <c r="H6" s="864" t="s">
        <v>64</v>
      </c>
      <c r="I6" s="16"/>
      <c r="J6" s="119"/>
      <c r="K6" s="864"/>
      <c r="L6" s="864"/>
    </row>
    <row r="7" spans="1:12" ht="18" customHeight="1">
      <c r="A7" s="821"/>
      <c r="B7" s="821"/>
      <c r="C7" s="872"/>
      <c r="D7" s="864"/>
      <c r="E7" s="822" t="s">
        <v>476</v>
      </c>
      <c r="F7" s="107" t="s">
        <v>63</v>
      </c>
      <c r="G7" s="108"/>
      <c r="H7" s="864"/>
      <c r="I7" s="107" t="s">
        <v>63</v>
      </c>
      <c r="J7" s="108"/>
      <c r="K7" s="864"/>
      <c r="L7" s="864"/>
    </row>
    <row r="8" spans="1:12" ht="42" customHeight="1">
      <c r="A8" s="821"/>
      <c r="B8" s="821"/>
      <c r="C8" s="872"/>
      <c r="D8" s="864"/>
      <c r="E8" s="824"/>
      <c r="F8" s="59" t="s">
        <v>477</v>
      </c>
      <c r="G8" s="59" t="s">
        <v>152</v>
      </c>
      <c r="H8" s="864"/>
      <c r="I8" s="120" t="s">
        <v>402</v>
      </c>
      <c r="J8" s="119" t="s">
        <v>401</v>
      </c>
      <c r="K8" s="864"/>
      <c r="L8" s="864"/>
    </row>
    <row r="9" spans="1:12" ht="7.5" customHeight="1" thickBot="1">
      <c r="A9" s="223">
        <v>1</v>
      </c>
      <c r="B9" s="223">
        <v>2</v>
      </c>
      <c r="C9" s="223">
        <v>3</v>
      </c>
      <c r="D9" s="223">
        <v>4</v>
      </c>
      <c r="E9" s="223">
        <v>5</v>
      </c>
      <c r="F9" s="223">
        <v>6</v>
      </c>
      <c r="G9" s="223">
        <v>7</v>
      </c>
      <c r="H9" s="223">
        <v>8</v>
      </c>
      <c r="I9" s="223"/>
      <c r="J9" s="223">
        <v>9</v>
      </c>
      <c r="K9" s="223">
        <v>10</v>
      </c>
      <c r="L9" s="18">
        <v>11</v>
      </c>
    </row>
    <row r="10" spans="1:12" s="54" customFormat="1" ht="24" customHeight="1" thickBot="1">
      <c r="A10" s="227" t="s">
        <v>67</v>
      </c>
      <c r="B10" s="228" t="s">
        <v>68</v>
      </c>
      <c r="C10" s="232">
        <f>C11</f>
        <v>1376</v>
      </c>
      <c r="D10" s="229">
        <f aca="true" t="shared" si="0" ref="D10:L10">D11</f>
        <v>2409880</v>
      </c>
      <c r="E10" s="229">
        <f t="shared" si="0"/>
        <v>300000</v>
      </c>
      <c r="F10" s="229">
        <f t="shared" si="0"/>
        <v>300000</v>
      </c>
      <c r="G10" s="229">
        <f t="shared" si="0"/>
        <v>0</v>
      </c>
      <c r="H10" s="229">
        <f t="shared" si="0"/>
        <v>2409154</v>
      </c>
      <c r="I10" s="229">
        <f t="shared" si="0"/>
        <v>541100</v>
      </c>
      <c r="J10" s="229">
        <f t="shared" si="0"/>
        <v>0</v>
      </c>
      <c r="K10" s="229">
        <f t="shared" si="0"/>
        <v>2102</v>
      </c>
      <c r="L10" s="112">
        <f t="shared" si="0"/>
        <v>0</v>
      </c>
    </row>
    <row r="11" spans="1:12" ht="25.5">
      <c r="A11" s="224"/>
      <c r="B11" s="225" t="s">
        <v>400</v>
      </c>
      <c r="C11" s="234">
        <f aca="true" t="shared" si="1" ref="C11:L11">SUM(C12:C15)</f>
        <v>1376</v>
      </c>
      <c r="D11" s="226">
        <f t="shared" si="1"/>
        <v>2409880</v>
      </c>
      <c r="E11" s="226">
        <f t="shared" si="1"/>
        <v>300000</v>
      </c>
      <c r="F11" s="226">
        <f t="shared" si="1"/>
        <v>300000</v>
      </c>
      <c r="G11" s="226">
        <f t="shared" si="1"/>
        <v>0</v>
      </c>
      <c r="H11" s="226">
        <f t="shared" si="1"/>
        <v>2409154</v>
      </c>
      <c r="I11" s="226">
        <f t="shared" si="1"/>
        <v>541100</v>
      </c>
      <c r="J11" s="226">
        <f t="shared" si="1"/>
        <v>0</v>
      </c>
      <c r="K11" s="226">
        <f t="shared" si="1"/>
        <v>2102</v>
      </c>
      <c r="L11" s="102">
        <f t="shared" si="1"/>
        <v>0</v>
      </c>
    </row>
    <row r="12" spans="1:12" ht="19.5" customHeight="1">
      <c r="A12" s="99"/>
      <c r="B12" s="222" t="s">
        <v>396</v>
      </c>
      <c r="C12" s="123">
        <v>0</v>
      </c>
      <c r="D12" s="102">
        <v>1495000</v>
      </c>
      <c r="E12" s="102">
        <v>300000</v>
      </c>
      <c r="F12" s="102">
        <v>300000</v>
      </c>
      <c r="G12" s="102"/>
      <c r="H12" s="102">
        <v>1495000</v>
      </c>
      <c r="I12" s="102">
        <v>184340</v>
      </c>
      <c r="J12" s="102">
        <v>0</v>
      </c>
      <c r="K12" s="102">
        <v>0</v>
      </c>
      <c r="L12" s="117" t="s">
        <v>102</v>
      </c>
    </row>
    <row r="13" spans="1:12" ht="19.5" customHeight="1">
      <c r="A13" s="30"/>
      <c r="B13" s="31" t="s">
        <v>397</v>
      </c>
      <c r="C13" s="117">
        <v>0</v>
      </c>
      <c r="D13" s="84">
        <v>205000</v>
      </c>
      <c r="E13" s="84"/>
      <c r="F13" s="84"/>
      <c r="G13" s="84"/>
      <c r="H13" s="84">
        <v>205000</v>
      </c>
      <c r="I13" s="84">
        <v>53920</v>
      </c>
      <c r="J13" s="84">
        <v>0</v>
      </c>
      <c r="K13" s="102">
        <v>0</v>
      </c>
      <c r="L13" s="117" t="s">
        <v>102</v>
      </c>
    </row>
    <row r="14" spans="1:12" ht="19.5" customHeight="1">
      <c r="A14" s="30"/>
      <c r="B14" s="31" t="s">
        <v>398</v>
      </c>
      <c r="C14" s="117">
        <v>0</v>
      </c>
      <c r="D14" s="84">
        <v>685880</v>
      </c>
      <c r="E14" s="84"/>
      <c r="F14" s="84"/>
      <c r="G14" s="84"/>
      <c r="H14" s="84">
        <v>685880</v>
      </c>
      <c r="I14" s="84">
        <v>293400</v>
      </c>
      <c r="J14" s="84"/>
      <c r="K14" s="102">
        <v>0</v>
      </c>
      <c r="L14" s="117" t="s">
        <v>102</v>
      </c>
    </row>
    <row r="15" spans="1:12" ht="19.5" customHeight="1" thickBot="1">
      <c r="A15" s="73"/>
      <c r="B15" s="230" t="s">
        <v>399</v>
      </c>
      <c r="C15" s="235">
        <v>1376</v>
      </c>
      <c r="D15" s="83">
        <v>24000</v>
      </c>
      <c r="E15" s="83"/>
      <c r="F15" s="83"/>
      <c r="G15" s="83"/>
      <c r="H15" s="83">
        <v>23274</v>
      </c>
      <c r="I15" s="83">
        <v>9440</v>
      </c>
      <c r="J15" s="83"/>
      <c r="K15" s="233">
        <f>C15+D15-H15</f>
        <v>2102</v>
      </c>
      <c r="L15" s="118" t="s">
        <v>102</v>
      </c>
    </row>
    <row r="16" spans="1:12" s="54" customFormat="1" ht="26.25" thickBot="1">
      <c r="A16" s="227" t="s">
        <v>72</v>
      </c>
      <c r="B16" s="231" t="s">
        <v>151</v>
      </c>
      <c r="C16" s="232">
        <f>SUM(C18:C20)</f>
        <v>0</v>
      </c>
      <c r="D16" s="229">
        <f>SUM(D18:D20)</f>
        <v>9500</v>
      </c>
      <c r="E16" s="229">
        <f>SUM(E18:E20)</f>
        <v>0</v>
      </c>
      <c r="F16" s="232" t="s">
        <v>102</v>
      </c>
      <c r="G16" s="232" t="s">
        <v>102</v>
      </c>
      <c r="H16" s="229">
        <f>SUM(H18:H20)</f>
        <v>9500</v>
      </c>
      <c r="I16" s="229">
        <f>SUM(I18:I20)</f>
        <v>0</v>
      </c>
      <c r="J16" s="232" t="s">
        <v>102</v>
      </c>
      <c r="K16" s="229">
        <f>SUM(K18:K20)</f>
        <v>0</v>
      </c>
      <c r="L16" s="112">
        <f>SUM(L18:L20)</f>
        <v>0</v>
      </c>
    </row>
    <row r="17" spans="1:12" ht="19.5" customHeight="1">
      <c r="A17" s="121"/>
      <c r="B17" s="122" t="s">
        <v>120</v>
      </c>
      <c r="C17" s="123"/>
      <c r="D17" s="102"/>
      <c r="E17" s="123"/>
      <c r="F17" s="123"/>
      <c r="G17" s="123"/>
      <c r="H17" s="102"/>
      <c r="I17" s="102"/>
      <c r="J17" s="123"/>
      <c r="K17" s="102"/>
      <c r="L17" s="102"/>
    </row>
    <row r="18" spans="1:12" ht="19.5" customHeight="1">
      <c r="A18" s="20"/>
      <c r="B18" s="31" t="s">
        <v>473</v>
      </c>
      <c r="C18" s="117">
        <v>0</v>
      </c>
      <c r="D18" s="84">
        <v>1000</v>
      </c>
      <c r="E18" s="117"/>
      <c r="F18" s="117" t="s">
        <v>102</v>
      </c>
      <c r="G18" s="117" t="s">
        <v>102</v>
      </c>
      <c r="H18" s="84">
        <v>1000</v>
      </c>
      <c r="I18" s="84"/>
      <c r="J18" s="117" t="s">
        <v>102</v>
      </c>
      <c r="K18" s="84">
        <v>0</v>
      </c>
      <c r="L18" s="84"/>
    </row>
    <row r="19" spans="1:12" ht="19.5" customHeight="1">
      <c r="A19" s="20"/>
      <c r="B19" s="31" t="s">
        <v>474</v>
      </c>
      <c r="C19" s="117">
        <v>0</v>
      </c>
      <c r="D19" s="84">
        <v>5000</v>
      </c>
      <c r="E19" s="117"/>
      <c r="F19" s="117" t="s">
        <v>102</v>
      </c>
      <c r="G19" s="117" t="s">
        <v>102</v>
      </c>
      <c r="H19" s="84">
        <v>5000</v>
      </c>
      <c r="I19" s="84"/>
      <c r="J19" s="117" t="s">
        <v>102</v>
      </c>
      <c r="K19" s="84">
        <v>0</v>
      </c>
      <c r="L19" s="84"/>
    </row>
    <row r="20" spans="1:12" ht="19.5" customHeight="1">
      <c r="A20" s="20"/>
      <c r="B20" s="31" t="s">
        <v>475</v>
      </c>
      <c r="C20" s="117">
        <v>0</v>
      </c>
      <c r="D20" s="84">
        <v>3500</v>
      </c>
      <c r="E20" s="117"/>
      <c r="F20" s="117" t="s">
        <v>102</v>
      </c>
      <c r="G20" s="117" t="s">
        <v>102</v>
      </c>
      <c r="H20" s="84">
        <v>3500</v>
      </c>
      <c r="I20" s="84"/>
      <c r="J20" s="117" t="s">
        <v>102</v>
      </c>
      <c r="K20" s="84">
        <v>0</v>
      </c>
      <c r="L20" s="84"/>
    </row>
    <row r="21" spans="1:12" s="54" customFormat="1" ht="19.5" customHeight="1">
      <c r="A21" s="870" t="s">
        <v>141</v>
      </c>
      <c r="B21" s="870"/>
      <c r="C21" s="124">
        <f>C16+C10</f>
        <v>1376</v>
      </c>
      <c r="D21" s="112">
        <f aca="true" t="shared" si="2" ref="D21:L21">D16+D10</f>
        <v>2419380</v>
      </c>
      <c r="E21" s="112">
        <f t="shared" si="2"/>
        <v>300000</v>
      </c>
      <c r="F21" s="112">
        <f>F10</f>
        <v>300000</v>
      </c>
      <c r="G21" s="112">
        <f>G10</f>
        <v>0</v>
      </c>
      <c r="H21" s="112">
        <f t="shared" si="2"/>
        <v>2418654</v>
      </c>
      <c r="I21" s="112">
        <f t="shared" si="2"/>
        <v>541100</v>
      </c>
      <c r="J21" s="112">
        <f>J10</f>
        <v>0</v>
      </c>
      <c r="K21" s="112">
        <f t="shared" si="2"/>
        <v>2102</v>
      </c>
      <c r="L21" s="112">
        <f t="shared" si="2"/>
        <v>0</v>
      </c>
    </row>
    <row r="22" ht="24" customHeight="1"/>
    <row r="23" ht="12.75">
      <c r="B23" s="44" t="s">
        <v>472</v>
      </c>
    </row>
  </sheetData>
  <mergeCells count="14">
    <mergeCell ref="E6:G6"/>
    <mergeCell ref="L5:L8"/>
    <mergeCell ref="H6:H8"/>
    <mergeCell ref="K5:K8"/>
    <mergeCell ref="A21:B21"/>
    <mergeCell ref="H5:J5"/>
    <mergeCell ref="A1:K1"/>
    <mergeCell ref="A2:K2"/>
    <mergeCell ref="A5:A8"/>
    <mergeCell ref="B5:B8"/>
    <mergeCell ref="C5:C8"/>
    <mergeCell ref="D6:D8"/>
    <mergeCell ref="D5:G5"/>
    <mergeCell ref="E7:E8"/>
  </mergeCells>
  <printOptions horizontalCentered="1"/>
  <pageMargins left="0.5118110236220472" right="0.5118110236220472" top="1.26" bottom="0.63" header="0.78" footer="0.5118110236220472"/>
  <pageSetup horizontalDpi="600" verticalDpi="600" orientation="landscape" paperSize="9" scale="85" r:id="rId1"/>
  <headerFooter alignWithMargins="0">
    <oddHeader>&amp;R&amp;"Arial CE,Pogrubiony"Załącznik nr &amp;A&amp;"Arial CE,Standardowy"&amp;9
do Uchwały Rady Gminy w Miłkowicach Nr ...............
z dnia ..............................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16"/>
  <sheetViews>
    <sheetView showGridLines="0" workbookViewId="0" topLeftCell="A1">
      <selection activeCell="A13" sqref="A13:F13"/>
    </sheetView>
  </sheetViews>
  <sheetFormatPr defaultColWidth="9.00390625" defaultRowHeight="12.75"/>
  <cols>
    <col min="1" max="1" width="4.125" style="0" customWidth="1"/>
    <col min="2" max="2" width="8.125" style="0" customWidth="1"/>
    <col min="3" max="3" width="10.00390625" style="0" customWidth="1"/>
    <col min="4" max="4" width="26.25390625" style="0" customWidth="1"/>
    <col min="5" max="5" width="25.125" style="0" customWidth="1"/>
    <col min="6" max="6" width="15.75390625" style="0" customWidth="1"/>
  </cols>
  <sheetData>
    <row r="1" spans="1:6" ht="19.5" customHeight="1">
      <c r="A1" s="820" t="s">
        <v>498</v>
      </c>
      <c r="B1" s="820"/>
      <c r="C1" s="820"/>
      <c r="D1" s="820"/>
      <c r="E1" s="820"/>
      <c r="F1" s="820"/>
    </row>
    <row r="2" spans="4:6" ht="19.5" customHeight="1">
      <c r="D2" s="6"/>
      <c r="E2" s="6"/>
      <c r="F2" s="6"/>
    </row>
    <row r="3" spans="4:6" ht="19.5" customHeight="1">
      <c r="D3" s="1"/>
      <c r="E3" s="1"/>
      <c r="F3" s="11" t="s">
        <v>97</v>
      </c>
    </row>
    <row r="4" spans="1:6" ht="19.5" customHeight="1">
      <c r="A4" s="821" t="s">
        <v>112</v>
      </c>
      <c r="B4" s="821" t="s">
        <v>59</v>
      </c>
      <c r="C4" s="821" t="s">
        <v>60</v>
      </c>
      <c r="D4" s="864" t="s">
        <v>116</v>
      </c>
      <c r="E4" s="864" t="s">
        <v>117</v>
      </c>
      <c r="F4" s="864" t="s">
        <v>98</v>
      </c>
    </row>
    <row r="5" spans="1:6" ht="19.5" customHeight="1">
      <c r="A5" s="821"/>
      <c r="B5" s="821"/>
      <c r="C5" s="821"/>
      <c r="D5" s="864"/>
      <c r="E5" s="864"/>
      <c r="F5" s="864"/>
    </row>
    <row r="6" spans="1:6" ht="19.5" customHeight="1">
      <c r="A6" s="821"/>
      <c r="B6" s="821"/>
      <c r="C6" s="821"/>
      <c r="D6" s="864"/>
      <c r="E6" s="864"/>
      <c r="F6" s="864"/>
    </row>
    <row r="7" spans="1:6" ht="7.5" customHeight="1">
      <c r="A7" s="18">
        <v>1</v>
      </c>
      <c r="B7" s="18">
        <v>2</v>
      </c>
      <c r="C7" s="18">
        <v>3</v>
      </c>
      <c r="D7" s="18">
        <v>5</v>
      </c>
      <c r="E7" s="18">
        <v>6</v>
      </c>
      <c r="F7" s="18">
        <v>7</v>
      </c>
    </row>
    <row r="8" spans="1:6" ht="30" customHeight="1">
      <c r="A8" s="32">
        <v>1</v>
      </c>
      <c r="B8" s="127">
        <v>400</v>
      </c>
      <c r="C8" s="127">
        <v>40002</v>
      </c>
      <c r="D8" s="125" t="s">
        <v>403</v>
      </c>
      <c r="E8" s="32" t="s">
        <v>404</v>
      </c>
      <c r="F8" s="126">
        <v>300000</v>
      </c>
    </row>
    <row r="9" spans="1:6" ht="30" customHeight="1">
      <c r="A9" s="33"/>
      <c r="B9" s="33"/>
      <c r="C9" s="33"/>
      <c r="D9" s="33"/>
      <c r="E9" s="33"/>
      <c r="F9" s="33"/>
    </row>
    <row r="10" spans="1:6" ht="30" customHeight="1">
      <c r="A10" s="33"/>
      <c r="B10" s="33"/>
      <c r="C10" s="33"/>
      <c r="D10" s="33"/>
      <c r="E10" s="33"/>
      <c r="F10" s="33"/>
    </row>
    <row r="11" spans="1:6" ht="30" customHeight="1">
      <c r="A11" s="33"/>
      <c r="B11" s="33"/>
      <c r="C11" s="33"/>
      <c r="D11" s="33"/>
      <c r="E11" s="33"/>
      <c r="F11" s="33"/>
    </row>
    <row r="12" spans="1:6" ht="30" customHeight="1" thickBot="1">
      <c r="A12" s="400"/>
      <c r="B12" s="400"/>
      <c r="C12" s="400"/>
      <c r="D12" s="400"/>
      <c r="E12" s="400"/>
      <c r="F12" s="400"/>
    </row>
    <row r="13" spans="1:6" s="1" customFormat="1" ht="30" customHeight="1" thickBot="1">
      <c r="A13" s="879" t="s">
        <v>141</v>
      </c>
      <c r="B13" s="880"/>
      <c r="C13" s="880"/>
      <c r="D13" s="881"/>
      <c r="E13" s="401"/>
      <c r="F13" s="402">
        <f>F8</f>
        <v>300000</v>
      </c>
    </row>
    <row r="16" ht="12.75">
      <c r="C16" s="44" t="s">
        <v>472</v>
      </c>
    </row>
  </sheetData>
  <mergeCells count="8">
    <mergeCell ref="A13:D13"/>
    <mergeCell ref="A1:F1"/>
    <mergeCell ref="F4:F6"/>
    <mergeCell ref="D4:D6"/>
    <mergeCell ref="E4:E6"/>
    <mergeCell ref="A4:A6"/>
    <mergeCell ref="B4:B6"/>
    <mergeCell ref="C4:C6"/>
  </mergeCells>
  <printOptions horizontalCentered="1"/>
  <pageMargins left="0.3937007874015748" right="0.3937007874015748" top="2.22" bottom="0.984251968503937" header="0.5118110236220472" footer="0.5118110236220472"/>
  <pageSetup horizontalDpi="600" verticalDpi="600" orientation="portrait" paperSize="9" scale="95" r:id="rId1"/>
  <headerFooter alignWithMargins="0">
    <oddHeader>&amp;R&amp;"Arial CE,Pogrubiony"Załącznik nr &amp;A&amp;"Arial CE,Standardowy"&amp;9
do Uchwały Rady Gminy w Miłkowicach Nr ...............
z dnia ..............................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18"/>
  <sheetViews>
    <sheetView showGridLines="0" workbookViewId="0" topLeftCell="A1">
      <selection activeCell="F6" sqref="F6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875" style="1" customWidth="1"/>
    <col min="4" max="4" width="26.00390625" style="1" customWidth="1"/>
    <col min="5" max="5" width="32.375" style="1" customWidth="1"/>
    <col min="6" max="6" width="16.00390625" style="1" customWidth="1"/>
    <col min="7" max="16384" width="9.125" style="1" customWidth="1"/>
  </cols>
  <sheetData>
    <row r="1" spans="1:6" ht="19.5" customHeight="1">
      <c r="A1" s="718" t="s">
        <v>606</v>
      </c>
      <c r="B1" s="718"/>
      <c r="C1" s="718"/>
      <c r="D1" s="718"/>
      <c r="E1" s="718"/>
      <c r="F1" s="718"/>
    </row>
    <row r="2" ht="19.5" customHeight="1">
      <c r="F2" s="11" t="s">
        <v>97</v>
      </c>
    </row>
    <row r="3" spans="1:6" ht="19.5" customHeight="1">
      <c r="A3" s="15" t="s">
        <v>112</v>
      </c>
      <c r="B3" s="15" t="s">
        <v>59</v>
      </c>
      <c r="C3" s="15" t="s">
        <v>60</v>
      </c>
      <c r="D3" s="15" t="s">
        <v>607</v>
      </c>
      <c r="E3" s="15" t="s">
        <v>117</v>
      </c>
      <c r="F3" s="15" t="s">
        <v>99</v>
      </c>
    </row>
    <row r="4" spans="1:6" ht="7.5" customHeight="1">
      <c r="A4" s="18">
        <v>1</v>
      </c>
      <c r="B4" s="18">
        <v>2</v>
      </c>
      <c r="C4" s="18">
        <v>3</v>
      </c>
      <c r="D4" s="18">
        <v>4</v>
      </c>
      <c r="E4" s="18">
        <v>5</v>
      </c>
      <c r="F4" s="18">
        <v>6</v>
      </c>
    </row>
    <row r="5" spans="1:6" ht="25.5">
      <c r="A5" s="132">
        <v>1</v>
      </c>
      <c r="B5" s="132">
        <v>851</v>
      </c>
      <c r="C5" s="132">
        <v>85121</v>
      </c>
      <c r="D5" s="128" t="s">
        <v>405</v>
      </c>
      <c r="E5" s="128" t="s">
        <v>573</v>
      </c>
      <c r="F5" s="109">
        <v>10000</v>
      </c>
    </row>
    <row r="6" spans="1:6" ht="38.25">
      <c r="A6" s="26">
        <v>2</v>
      </c>
      <c r="B6" s="26">
        <v>851</v>
      </c>
      <c r="C6" s="26">
        <v>85154</v>
      </c>
      <c r="D6" s="403" t="s">
        <v>420</v>
      </c>
      <c r="E6" s="130" t="s">
        <v>419</v>
      </c>
      <c r="F6" s="131">
        <v>25000</v>
      </c>
    </row>
    <row r="7" spans="1:6" ht="30" customHeight="1">
      <c r="A7" s="26">
        <v>3</v>
      </c>
      <c r="B7" s="26">
        <v>852</v>
      </c>
      <c r="C7" s="26">
        <v>85295</v>
      </c>
      <c r="D7" s="27" t="s">
        <v>406</v>
      </c>
      <c r="E7" s="27" t="s">
        <v>407</v>
      </c>
      <c r="F7" s="110">
        <v>45000</v>
      </c>
    </row>
    <row r="8" spans="1:6" ht="30" customHeight="1">
      <c r="A8" s="26">
        <v>4</v>
      </c>
      <c r="B8" s="26">
        <v>921</v>
      </c>
      <c r="C8" s="26">
        <v>92109</v>
      </c>
      <c r="D8" s="27" t="s">
        <v>406</v>
      </c>
      <c r="E8" s="27" t="s">
        <v>410</v>
      </c>
      <c r="F8" s="110">
        <v>110000</v>
      </c>
    </row>
    <row r="9" spans="1:6" ht="30" customHeight="1">
      <c r="A9" s="26">
        <v>5</v>
      </c>
      <c r="B9" s="26">
        <v>921</v>
      </c>
      <c r="C9" s="26">
        <v>92116</v>
      </c>
      <c r="D9" s="27" t="s">
        <v>406</v>
      </c>
      <c r="E9" s="27" t="s">
        <v>409</v>
      </c>
      <c r="F9" s="110">
        <v>177000</v>
      </c>
    </row>
    <row r="10" spans="1:6" ht="25.5">
      <c r="A10" s="26">
        <v>6</v>
      </c>
      <c r="B10" s="26">
        <v>926</v>
      </c>
      <c r="C10" s="26">
        <v>92605</v>
      </c>
      <c r="D10" s="27" t="s">
        <v>406</v>
      </c>
      <c r="E10" s="27" t="s">
        <v>408</v>
      </c>
      <c r="F10" s="110">
        <v>10800</v>
      </c>
    </row>
    <row r="11" spans="1:6" ht="25.5">
      <c r="A11" s="26">
        <v>7</v>
      </c>
      <c r="B11" s="26">
        <v>926</v>
      </c>
      <c r="C11" s="26">
        <v>92605</v>
      </c>
      <c r="D11" s="404" t="s">
        <v>420</v>
      </c>
      <c r="E11" s="394" t="s">
        <v>418</v>
      </c>
      <c r="F11" s="110">
        <v>77000</v>
      </c>
    </row>
    <row r="12" spans="1:6" ht="28.5" customHeight="1">
      <c r="A12" s="26">
        <v>8</v>
      </c>
      <c r="B12" s="26">
        <v>921</v>
      </c>
      <c r="C12" s="26">
        <v>92120</v>
      </c>
      <c r="D12" s="404" t="s">
        <v>420</v>
      </c>
      <c r="E12" s="394" t="s">
        <v>609</v>
      </c>
      <c r="F12" s="110">
        <v>20000</v>
      </c>
    </row>
    <row r="13" spans="1:6" ht="25.5" customHeight="1">
      <c r="A13" s="35">
        <v>9</v>
      </c>
      <c r="B13" s="35">
        <v>801</v>
      </c>
      <c r="C13" s="35">
        <v>80104</v>
      </c>
      <c r="D13" s="130" t="s">
        <v>608</v>
      </c>
      <c r="E13" s="130" t="s">
        <v>612</v>
      </c>
      <c r="F13" s="131">
        <v>3500</v>
      </c>
    </row>
    <row r="14" spans="1:6" ht="47.25" thickBot="1">
      <c r="A14" s="395">
        <v>10</v>
      </c>
      <c r="B14" s="396" t="s">
        <v>173</v>
      </c>
      <c r="C14" s="396" t="s">
        <v>230</v>
      </c>
      <c r="D14" s="405" t="s">
        <v>610</v>
      </c>
      <c r="E14" s="129" t="s">
        <v>611</v>
      </c>
      <c r="F14" s="397" t="s">
        <v>56</v>
      </c>
    </row>
    <row r="15" spans="1:6" ht="30" customHeight="1" thickBot="1">
      <c r="A15" s="879"/>
      <c r="B15" s="880"/>
      <c r="C15" s="880"/>
      <c r="D15" s="881"/>
      <c r="E15" s="398" t="s">
        <v>141</v>
      </c>
      <c r="F15" s="399">
        <f>SUM(F5:F14)+90000</f>
        <v>568300</v>
      </c>
    </row>
    <row r="18" ht="12.75">
      <c r="C18" s="44" t="s">
        <v>472</v>
      </c>
    </row>
  </sheetData>
  <mergeCells count="2">
    <mergeCell ref="A1:F1"/>
    <mergeCell ref="A15:D15"/>
  </mergeCells>
  <printOptions horizontalCentered="1"/>
  <pageMargins left="0.5511811023622047" right="0.5118110236220472" top="1.06" bottom="0.984251968503937" header="0.5118110236220472" footer="0.5118110236220472"/>
  <pageSetup horizontalDpi="600" verticalDpi="600" orientation="portrait" paperSize="9" scale="95" r:id="rId1"/>
  <headerFooter alignWithMargins="0">
    <oddHeader>&amp;R&amp;"Arial CE,Pogrubiony"Załącznik nr &amp;A&amp;"Arial CE,Standardowy"&amp;9
do Uchwały Rady Gminy w Miłkowicach Nr ...............
z dnia ..............................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30"/>
  <sheetViews>
    <sheetView showGridLines="0" workbookViewId="0" topLeftCell="A1">
      <selection activeCell="G18" sqref="G18"/>
    </sheetView>
  </sheetViews>
  <sheetFormatPr defaultColWidth="9.00390625" defaultRowHeight="12.75"/>
  <cols>
    <col min="1" max="1" width="5.25390625" style="1" bestFit="1" customWidth="1"/>
    <col min="2" max="2" width="61.00390625" style="1" customWidth="1"/>
    <col min="3" max="3" width="17.75390625" style="1" customWidth="1"/>
    <col min="4" max="16384" width="9.125" style="1" customWidth="1"/>
  </cols>
  <sheetData>
    <row r="1" spans="1:10" ht="19.5" customHeight="1">
      <c r="A1" s="656" t="s">
        <v>95</v>
      </c>
      <c r="B1" s="656"/>
      <c r="C1" s="656"/>
      <c r="D1" s="6"/>
      <c r="E1" s="6"/>
      <c r="F1" s="6"/>
      <c r="G1" s="6"/>
      <c r="H1" s="6"/>
      <c r="I1" s="6"/>
      <c r="J1" s="6"/>
    </row>
    <row r="2" spans="1:7" ht="19.5" customHeight="1">
      <c r="A2" s="656" t="s">
        <v>100</v>
      </c>
      <c r="B2" s="656"/>
      <c r="C2" s="656"/>
      <c r="D2" s="6"/>
      <c r="E2" s="6"/>
      <c r="F2" s="6"/>
      <c r="G2" s="6"/>
    </row>
    <row r="4" ht="12.75">
      <c r="C4" s="9" t="s">
        <v>97</v>
      </c>
    </row>
    <row r="5" spans="1:10" ht="19.5" customHeight="1">
      <c r="A5" s="15" t="s">
        <v>112</v>
      </c>
      <c r="B5" s="15" t="s">
        <v>57</v>
      </c>
      <c r="C5" s="15" t="s">
        <v>497</v>
      </c>
      <c r="D5" s="7"/>
      <c r="E5" s="7"/>
      <c r="F5" s="7"/>
      <c r="G5" s="7"/>
      <c r="H5" s="7"/>
      <c r="I5" s="8"/>
      <c r="J5" s="8"/>
    </row>
    <row r="6" spans="1:10" ht="19.5" customHeight="1">
      <c r="A6" s="23" t="s">
        <v>67</v>
      </c>
      <c r="B6" s="34" t="s">
        <v>113</v>
      </c>
      <c r="C6" s="156">
        <v>5941</v>
      </c>
      <c r="D6" s="7"/>
      <c r="E6" s="7"/>
      <c r="F6" s="7"/>
      <c r="G6" s="7"/>
      <c r="H6" s="7"/>
      <c r="I6" s="8"/>
      <c r="J6" s="8"/>
    </row>
    <row r="7" spans="1:10" ht="19.5" customHeight="1">
      <c r="A7" s="23" t="s">
        <v>72</v>
      </c>
      <c r="B7" s="34" t="s">
        <v>66</v>
      </c>
      <c r="C7" s="156">
        <f>C8</f>
        <v>7000</v>
      </c>
      <c r="D7" s="7"/>
      <c r="E7" s="7"/>
      <c r="F7" s="7"/>
      <c r="G7" s="7"/>
      <c r="H7" s="7"/>
      <c r="I7" s="8"/>
      <c r="J7" s="8"/>
    </row>
    <row r="8" spans="1:10" ht="19.5" customHeight="1">
      <c r="A8" s="429" t="s">
        <v>69</v>
      </c>
      <c r="B8" s="160" t="s">
        <v>436</v>
      </c>
      <c r="C8" s="433">
        <f>C9</f>
        <v>7000</v>
      </c>
      <c r="D8" s="7"/>
      <c r="E8" s="7"/>
      <c r="F8" s="7"/>
      <c r="G8" s="7"/>
      <c r="H8" s="7"/>
      <c r="I8" s="8"/>
      <c r="J8" s="8"/>
    </row>
    <row r="9" spans="1:10" ht="19.5" customHeight="1">
      <c r="A9" s="26"/>
      <c r="B9" s="161" t="s">
        <v>437</v>
      </c>
      <c r="C9" s="158">
        <f>C10</f>
        <v>7000</v>
      </c>
      <c r="D9" s="7"/>
      <c r="E9" s="7"/>
      <c r="F9" s="7"/>
      <c r="G9" s="7"/>
      <c r="H9" s="7"/>
      <c r="I9" s="8"/>
      <c r="J9" s="8"/>
    </row>
    <row r="10" spans="1:10" ht="19.5" customHeight="1">
      <c r="A10" s="28"/>
      <c r="B10" s="162" t="s">
        <v>438</v>
      </c>
      <c r="C10" s="159">
        <v>7000</v>
      </c>
      <c r="D10" s="7"/>
      <c r="E10" s="7"/>
      <c r="F10" s="7"/>
      <c r="G10" s="7"/>
      <c r="H10" s="7"/>
      <c r="I10" s="8"/>
      <c r="J10" s="8"/>
    </row>
    <row r="11" spans="1:10" ht="19.5" customHeight="1">
      <c r="A11" s="23" t="s">
        <v>73</v>
      </c>
      <c r="B11" s="34" t="s">
        <v>65</v>
      </c>
      <c r="C11" s="156">
        <f>C12+C17</f>
        <v>5000</v>
      </c>
      <c r="D11" s="7"/>
      <c r="E11" s="7"/>
      <c r="F11" s="7"/>
      <c r="G11" s="7"/>
      <c r="H11" s="7"/>
      <c r="I11" s="8"/>
      <c r="J11" s="8"/>
    </row>
    <row r="12" spans="1:10" ht="19.5" customHeight="1">
      <c r="A12" s="428" t="s">
        <v>69</v>
      </c>
      <c r="B12" s="427" t="s">
        <v>93</v>
      </c>
      <c r="C12" s="432">
        <f>C13+C17</f>
        <v>5000</v>
      </c>
      <c r="D12" s="7"/>
      <c r="E12" s="7"/>
      <c r="F12" s="7"/>
      <c r="G12" s="7"/>
      <c r="H12" s="7"/>
      <c r="I12" s="8"/>
      <c r="J12" s="8"/>
    </row>
    <row r="13" spans="1:10" ht="19.5" customHeight="1">
      <c r="A13" s="35"/>
      <c r="B13" s="160" t="s">
        <v>436</v>
      </c>
      <c r="C13" s="157">
        <f>C14</f>
        <v>5000</v>
      </c>
      <c r="D13" s="7"/>
      <c r="E13" s="7"/>
      <c r="F13" s="7"/>
      <c r="G13" s="7"/>
      <c r="H13" s="7"/>
      <c r="I13" s="8"/>
      <c r="J13" s="8"/>
    </row>
    <row r="14" spans="1:10" ht="19.5" customHeight="1">
      <c r="A14" s="26"/>
      <c r="B14" s="161" t="s">
        <v>437</v>
      </c>
      <c r="C14" s="158">
        <f>SUM(C15:C16)</f>
        <v>5000</v>
      </c>
      <c r="D14" s="7"/>
      <c r="E14" s="7"/>
      <c r="F14" s="7"/>
      <c r="G14" s="7"/>
      <c r="H14" s="7"/>
      <c r="I14" s="8"/>
      <c r="J14" s="8"/>
    </row>
    <row r="15" spans="1:10" ht="18" customHeight="1">
      <c r="A15" s="26"/>
      <c r="B15" s="161" t="s">
        <v>617</v>
      </c>
      <c r="C15" s="158">
        <v>1000</v>
      </c>
      <c r="D15" s="7"/>
      <c r="E15" s="7"/>
      <c r="F15" s="7"/>
      <c r="G15" s="7"/>
      <c r="H15" s="7"/>
      <c r="I15" s="8"/>
      <c r="J15" s="8"/>
    </row>
    <row r="16" spans="1:10" ht="18" customHeight="1">
      <c r="A16" s="26"/>
      <c r="B16" s="431" t="s">
        <v>618</v>
      </c>
      <c r="C16" s="159">
        <v>4000</v>
      </c>
      <c r="D16" s="7"/>
      <c r="E16" s="7"/>
      <c r="F16" s="7"/>
      <c r="G16" s="7"/>
      <c r="H16" s="7"/>
      <c r="I16" s="8"/>
      <c r="J16" s="8"/>
    </row>
    <row r="17" spans="1:10" ht="19.5" customHeight="1">
      <c r="A17" s="430" t="s">
        <v>70</v>
      </c>
      <c r="B17" s="161" t="s">
        <v>96</v>
      </c>
      <c r="C17" s="433">
        <v>0</v>
      </c>
      <c r="D17" s="7"/>
      <c r="E17" s="7"/>
      <c r="F17" s="7"/>
      <c r="G17" s="7"/>
      <c r="H17" s="7"/>
      <c r="I17" s="8"/>
      <c r="J17" s="8"/>
    </row>
    <row r="18" spans="1:10" ht="15">
      <c r="A18" s="26"/>
      <c r="B18" s="36"/>
      <c r="C18" s="158"/>
      <c r="D18" s="7"/>
      <c r="E18" s="7"/>
      <c r="F18" s="7"/>
      <c r="G18" s="7"/>
      <c r="H18" s="7"/>
      <c r="I18" s="8"/>
      <c r="J18" s="8"/>
    </row>
    <row r="19" spans="1:10" ht="15" customHeight="1">
      <c r="A19" s="28"/>
      <c r="B19" s="37"/>
      <c r="C19" s="159"/>
      <c r="D19" s="7"/>
      <c r="E19" s="7"/>
      <c r="F19" s="7"/>
      <c r="G19" s="7"/>
      <c r="H19" s="7"/>
      <c r="I19" s="8"/>
      <c r="J19" s="8"/>
    </row>
    <row r="20" spans="1:10" ht="19.5" customHeight="1">
      <c r="A20" s="23" t="s">
        <v>94</v>
      </c>
      <c r="B20" s="34" t="s">
        <v>114</v>
      </c>
      <c r="C20" s="156">
        <f>C6+C7-C11</f>
        <v>7941</v>
      </c>
      <c r="D20" s="7"/>
      <c r="E20" s="7"/>
      <c r="F20" s="7"/>
      <c r="G20" s="7"/>
      <c r="H20" s="7"/>
      <c r="I20" s="8"/>
      <c r="J20" s="8"/>
    </row>
    <row r="21" spans="1:10" ht="15">
      <c r="A21" s="7"/>
      <c r="B21" s="7"/>
      <c r="C21" s="7"/>
      <c r="D21" s="7"/>
      <c r="E21" s="7"/>
      <c r="F21" s="7"/>
      <c r="G21" s="7"/>
      <c r="H21" s="7"/>
      <c r="I21" s="8"/>
      <c r="J21" s="8"/>
    </row>
    <row r="22" spans="1:10" ht="15">
      <c r="A22" s="7"/>
      <c r="B22" s="7"/>
      <c r="C22" s="7"/>
      <c r="D22" s="7"/>
      <c r="E22" s="7"/>
      <c r="F22" s="7"/>
      <c r="G22" s="7"/>
      <c r="H22" s="7"/>
      <c r="I22" s="8"/>
      <c r="J22" s="8"/>
    </row>
    <row r="23" spans="1:10" ht="15">
      <c r="A23" s="7"/>
      <c r="B23" s="44" t="s">
        <v>472</v>
      </c>
      <c r="C23" s="7"/>
      <c r="D23" s="7"/>
      <c r="E23" s="7"/>
      <c r="F23" s="7"/>
      <c r="G23" s="7"/>
      <c r="H23" s="7"/>
      <c r="I23" s="8"/>
      <c r="J23" s="8"/>
    </row>
    <row r="24" spans="1:10" ht="15">
      <c r="A24" s="7"/>
      <c r="B24" s="7"/>
      <c r="C24" s="7"/>
      <c r="D24" s="7"/>
      <c r="E24" s="7"/>
      <c r="F24" s="7"/>
      <c r="G24" s="7"/>
      <c r="H24" s="7"/>
      <c r="I24" s="8"/>
      <c r="J24" s="8"/>
    </row>
    <row r="25" spans="1:10" ht="15">
      <c r="A25" s="7"/>
      <c r="B25" s="7"/>
      <c r="C25" s="7"/>
      <c r="D25" s="7"/>
      <c r="E25" s="7"/>
      <c r="F25" s="7"/>
      <c r="G25" s="7"/>
      <c r="H25" s="7"/>
      <c r="I25" s="8"/>
      <c r="J25" s="8"/>
    </row>
    <row r="26" spans="1:10" ht="15">
      <c r="A26" s="7"/>
      <c r="B26" s="7"/>
      <c r="C26" s="7"/>
      <c r="D26" s="7"/>
      <c r="E26" s="7"/>
      <c r="F26" s="7"/>
      <c r="G26" s="7"/>
      <c r="H26" s="7"/>
      <c r="I26" s="8"/>
      <c r="J26" s="8"/>
    </row>
    <row r="27" spans="1:10" ht="15">
      <c r="A27" s="8"/>
      <c r="B27" s="8"/>
      <c r="C27" s="8"/>
      <c r="D27" s="8"/>
      <c r="E27" s="8"/>
      <c r="F27" s="8"/>
      <c r="G27" s="8"/>
      <c r="H27" s="8"/>
      <c r="I27" s="8"/>
      <c r="J27" s="8"/>
    </row>
    <row r="28" spans="1:10" ht="15">
      <c r="A28" s="8"/>
      <c r="B28" s="8"/>
      <c r="C28" s="8"/>
      <c r="D28" s="8"/>
      <c r="E28" s="8"/>
      <c r="F28" s="8"/>
      <c r="G28" s="8"/>
      <c r="H28" s="8"/>
      <c r="I28" s="8"/>
      <c r="J28" s="8"/>
    </row>
    <row r="29" spans="1:10" ht="15">
      <c r="A29" s="8"/>
      <c r="B29" s="8"/>
      <c r="C29" s="8"/>
      <c r="D29" s="8"/>
      <c r="E29" s="8"/>
      <c r="F29" s="8"/>
      <c r="G29" s="8"/>
      <c r="H29" s="8"/>
      <c r="I29" s="8"/>
      <c r="J29" s="8"/>
    </row>
    <row r="30" spans="1:10" ht="15">
      <c r="A30" s="8"/>
      <c r="B30" s="8"/>
      <c r="C30" s="8"/>
      <c r="D30" s="8"/>
      <c r="E30" s="8"/>
      <c r="F30" s="8"/>
      <c r="G30" s="8"/>
      <c r="H30" s="8"/>
      <c r="I30" s="8"/>
      <c r="J30" s="8"/>
    </row>
  </sheetData>
  <mergeCells count="2">
    <mergeCell ref="A1:C1"/>
    <mergeCell ref="A2:C2"/>
  </mergeCells>
  <printOptions horizontalCentered="1"/>
  <pageMargins left="0.5905511811023623" right="0.5905511811023623" top="1.18" bottom="0.5905511811023623" header="0.5118110236220472" footer="0.5118110236220472"/>
  <pageSetup horizontalDpi="600" verticalDpi="600" orientation="portrait" paperSize="9" r:id="rId1"/>
  <headerFooter alignWithMargins="0">
    <oddHeader>&amp;R&amp;"Arial CE,Pogrubiony"Załącznik nr &amp;A&amp;"Arial CE,Standardowy"
 do Uchwały Rady Gminy w Miłkowicach Nr ...............
z dnia ..............................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108"/>
  <sheetViews>
    <sheetView showGridLines="0" zoomScale="75" zoomScaleNormal="75" workbookViewId="0" topLeftCell="A25">
      <selection activeCell="F102" sqref="F102"/>
    </sheetView>
  </sheetViews>
  <sheetFormatPr defaultColWidth="9.00390625" defaultRowHeight="12.75"/>
  <cols>
    <col min="1" max="1" width="5.25390625" style="1" customWidth="1"/>
    <col min="2" max="2" width="7.125" style="1" customWidth="1"/>
    <col min="3" max="3" width="42.875" style="1" customWidth="1"/>
    <col min="4" max="6" width="13.375" style="1" customWidth="1"/>
    <col min="7" max="7" width="7.00390625" style="1" customWidth="1"/>
    <col min="8" max="8" width="13.25390625" style="1" customWidth="1"/>
    <col min="9" max="9" width="11.625" style="1" customWidth="1"/>
    <col min="10" max="10" width="10.75390625" style="1" customWidth="1"/>
    <col min="11" max="11" width="9.75390625" style="1" customWidth="1"/>
    <col min="12" max="12" width="10.375" style="1" customWidth="1"/>
    <col min="13" max="13" width="11.375" style="1" customWidth="1"/>
    <col min="14" max="14" width="13.25390625" style="1" customWidth="1"/>
    <col min="15" max="15" width="13.125" style="0" bestFit="1" customWidth="1"/>
  </cols>
  <sheetData>
    <row r="1" spans="1:14" ht="18.75" customHeight="1">
      <c r="A1" s="656" t="s">
        <v>670</v>
      </c>
      <c r="B1" s="656"/>
      <c r="C1" s="656"/>
      <c r="D1" s="656"/>
      <c r="E1" s="656"/>
      <c r="F1" s="656"/>
      <c r="G1" s="656"/>
      <c r="H1" s="656"/>
      <c r="I1" s="656"/>
      <c r="J1" s="656"/>
      <c r="K1" s="656"/>
      <c r="L1" s="656"/>
      <c r="M1" s="656"/>
      <c r="N1" s="656"/>
    </row>
    <row r="2" spans="1:14" ht="9" customHeight="1" thickBot="1">
      <c r="A2" s="41"/>
      <c r="B2" s="41"/>
      <c r="C2" s="41"/>
      <c r="D2" s="41"/>
      <c r="E2" s="41"/>
      <c r="F2" s="41"/>
      <c r="G2" s="41"/>
      <c r="H2" s="41"/>
      <c r="J2" s="13"/>
      <c r="K2" s="13"/>
      <c r="L2" s="13"/>
      <c r="M2" s="13"/>
      <c r="N2" s="42" t="s">
        <v>111</v>
      </c>
    </row>
    <row r="3" spans="1:14" s="44" customFormat="1" ht="18.75" customHeight="1">
      <c r="A3" s="679" t="s">
        <v>59</v>
      </c>
      <c r="B3" s="679" t="s">
        <v>60</v>
      </c>
      <c r="C3" s="679" t="s">
        <v>74</v>
      </c>
      <c r="D3" s="680" t="s">
        <v>546</v>
      </c>
      <c r="E3" s="681" t="s">
        <v>543</v>
      </c>
      <c r="F3" s="657" t="s">
        <v>669</v>
      </c>
      <c r="G3" s="682" t="s">
        <v>671</v>
      </c>
      <c r="H3" s="679" t="s">
        <v>120</v>
      </c>
      <c r="I3" s="679"/>
      <c r="J3" s="679"/>
      <c r="K3" s="679"/>
      <c r="L3" s="679"/>
      <c r="M3" s="679"/>
      <c r="N3" s="679"/>
    </row>
    <row r="4" spans="1:14" s="44" customFormat="1" ht="20.25" customHeight="1">
      <c r="A4" s="679"/>
      <c r="B4" s="679"/>
      <c r="C4" s="679"/>
      <c r="D4" s="680"/>
      <c r="E4" s="681"/>
      <c r="F4" s="658"/>
      <c r="G4" s="683"/>
      <c r="H4" s="679" t="s">
        <v>93</v>
      </c>
      <c r="I4" s="679" t="s">
        <v>63</v>
      </c>
      <c r="J4" s="679"/>
      <c r="K4" s="679"/>
      <c r="L4" s="679"/>
      <c r="M4" s="679"/>
      <c r="N4" s="679" t="s">
        <v>96</v>
      </c>
    </row>
    <row r="5" spans="1:14" s="44" customFormat="1" ht="63.75">
      <c r="A5" s="679"/>
      <c r="B5" s="679"/>
      <c r="C5" s="679"/>
      <c r="D5" s="680"/>
      <c r="E5" s="681"/>
      <c r="F5" s="658"/>
      <c r="G5" s="684"/>
      <c r="H5" s="679"/>
      <c r="I5" s="50" t="s">
        <v>282</v>
      </c>
      <c r="J5" s="50" t="s">
        <v>125</v>
      </c>
      <c r="K5" s="50" t="s">
        <v>145</v>
      </c>
      <c r="L5" s="50" t="s">
        <v>127</v>
      </c>
      <c r="M5" s="50" t="s">
        <v>542</v>
      </c>
      <c r="N5" s="679"/>
    </row>
    <row r="6" spans="1:14" s="44" customFormat="1" ht="6" customHeight="1" thickBot="1">
      <c r="A6" s="580">
        <v>1</v>
      </c>
      <c r="B6" s="580">
        <v>2</v>
      </c>
      <c r="C6" s="580">
        <v>3</v>
      </c>
      <c r="D6" s="580">
        <v>4</v>
      </c>
      <c r="E6" s="599">
        <v>5</v>
      </c>
      <c r="F6" s="609">
        <v>6</v>
      </c>
      <c r="G6" s="606">
        <v>7</v>
      </c>
      <c r="H6" s="580">
        <v>8</v>
      </c>
      <c r="I6" s="580">
        <v>9</v>
      </c>
      <c r="J6" s="580">
        <v>10</v>
      </c>
      <c r="K6" s="580">
        <v>11</v>
      </c>
      <c r="L6" s="580">
        <v>12</v>
      </c>
      <c r="M6" s="580">
        <v>13</v>
      </c>
      <c r="N6" s="580">
        <v>14</v>
      </c>
    </row>
    <row r="7" spans="1:15" s="89" customFormat="1" ht="19.5" customHeight="1" thickBot="1">
      <c r="A7" s="583" t="s">
        <v>173</v>
      </c>
      <c r="B7" s="584"/>
      <c r="C7" s="585" t="s">
        <v>176</v>
      </c>
      <c r="D7" s="581">
        <f>SUM(D8:D13)</f>
        <v>2409160</v>
      </c>
      <c r="E7" s="600">
        <f>SUM(E8:E13)</f>
        <v>2367084</v>
      </c>
      <c r="F7" s="610">
        <f>SUM(F8:F13)</f>
        <v>6025310</v>
      </c>
      <c r="G7" s="607">
        <f aca="true" t="shared" si="0" ref="G7:G19">F7/D7</f>
        <v>2.501000348669246</v>
      </c>
      <c r="H7" s="581">
        <f aca="true" t="shared" si="1" ref="H7:N7">SUM(H8:H13)</f>
        <v>47810</v>
      </c>
      <c r="I7" s="581">
        <f t="shared" si="1"/>
        <v>23049</v>
      </c>
      <c r="J7" s="581">
        <f t="shared" si="1"/>
        <v>0</v>
      </c>
      <c r="K7" s="581">
        <f t="shared" si="1"/>
        <v>0</v>
      </c>
      <c r="L7" s="581">
        <f>SUM(L8:L13)</f>
        <v>0</v>
      </c>
      <c r="M7" s="581">
        <f t="shared" si="1"/>
        <v>24761</v>
      </c>
      <c r="N7" s="582">
        <f t="shared" si="1"/>
        <v>5977500</v>
      </c>
      <c r="O7" s="237"/>
    </row>
    <row r="8" spans="1:15" s="93" customFormat="1" ht="19.5" customHeight="1">
      <c r="A8" s="244"/>
      <c r="B8" s="244" t="s">
        <v>284</v>
      </c>
      <c r="C8" s="245" t="s">
        <v>285</v>
      </c>
      <c r="D8" s="246">
        <v>35727</v>
      </c>
      <c r="E8" s="601">
        <v>35801</v>
      </c>
      <c r="F8" s="611">
        <f aca="true" t="shared" si="2" ref="F8:F17">H8+N8</f>
        <v>35809</v>
      </c>
      <c r="G8" s="335">
        <f t="shared" si="0"/>
        <v>1.0022951829148823</v>
      </c>
      <c r="H8" s="246">
        <f aca="true" t="shared" si="3" ref="H8:H13">SUM(I8:M8)</f>
        <v>35809</v>
      </c>
      <c r="I8" s="246">
        <f>16219+2146+2924+760+1000</f>
        <v>23049</v>
      </c>
      <c r="J8" s="246"/>
      <c r="K8" s="246"/>
      <c r="L8" s="246"/>
      <c r="M8" s="246">
        <f>350+800+10000+1610</f>
        <v>12760</v>
      </c>
      <c r="N8" s="246"/>
      <c r="O8" s="237"/>
    </row>
    <row r="9" spans="1:15" s="93" customFormat="1" ht="19.5" customHeight="1">
      <c r="A9" s="91"/>
      <c r="B9" s="91" t="s">
        <v>230</v>
      </c>
      <c r="C9" s="95" t="s">
        <v>231</v>
      </c>
      <c r="D9" s="92">
        <v>1272543</v>
      </c>
      <c r="E9" s="602">
        <v>1230416</v>
      </c>
      <c r="F9" s="612">
        <f t="shared" si="2"/>
        <v>5777500</v>
      </c>
      <c r="G9" s="608">
        <f t="shared" si="0"/>
        <v>4.540121630467497</v>
      </c>
      <c r="H9" s="246">
        <f t="shared" si="3"/>
        <v>0</v>
      </c>
      <c r="I9" s="92"/>
      <c r="J9" s="92"/>
      <c r="K9" s="92"/>
      <c r="L9" s="92"/>
      <c r="M9" s="92"/>
      <c r="N9" s="92">
        <f>5777500</f>
        <v>5777500</v>
      </c>
      <c r="O9" s="237"/>
    </row>
    <row r="10" spans="1:15" s="93" customFormat="1" ht="19.5" customHeight="1">
      <c r="A10" s="91"/>
      <c r="B10" s="91" t="s">
        <v>286</v>
      </c>
      <c r="C10" s="94" t="s">
        <v>287</v>
      </c>
      <c r="D10" s="92">
        <v>2001</v>
      </c>
      <c r="E10" s="602">
        <v>2001</v>
      </c>
      <c r="F10" s="612">
        <f t="shared" si="2"/>
        <v>2001</v>
      </c>
      <c r="G10" s="608">
        <f t="shared" si="0"/>
        <v>1</v>
      </c>
      <c r="H10" s="246">
        <f t="shared" si="3"/>
        <v>2001</v>
      </c>
      <c r="I10" s="92"/>
      <c r="J10" s="92"/>
      <c r="K10" s="92"/>
      <c r="L10" s="92"/>
      <c r="M10" s="92">
        <v>2001</v>
      </c>
      <c r="N10" s="92"/>
      <c r="O10" s="237"/>
    </row>
    <row r="11" spans="1:15" s="93" customFormat="1" ht="19.5" customHeight="1">
      <c r="A11" s="247"/>
      <c r="B11" s="247" t="s">
        <v>288</v>
      </c>
      <c r="C11" s="248" t="s">
        <v>289</v>
      </c>
      <c r="D11" s="249">
        <v>9850</v>
      </c>
      <c r="E11" s="603">
        <v>9827</v>
      </c>
      <c r="F11" s="613">
        <f>H11+N11</f>
        <v>10000</v>
      </c>
      <c r="G11" s="377">
        <f>F11/D11</f>
        <v>1.015228426395939</v>
      </c>
      <c r="H11" s="246">
        <f t="shared" si="3"/>
        <v>10000</v>
      </c>
      <c r="I11" s="249"/>
      <c r="J11" s="249"/>
      <c r="K11" s="249"/>
      <c r="L11" s="249"/>
      <c r="M11" s="249">
        <v>10000</v>
      </c>
      <c r="N11" s="249"/>
      <c r="O11" s="237"/>
    </row>
    <row r="12" spans="1:15" s="93" customFormat="1" ht="19.5" customHeight="1">
      <c r="A12" s="247"/>
      <c r="B12" s="247" t="s">
        <v>236</v>
      </c>
      <c r="C12" s="248" t="s">
        <v>544</v>
      </c>
      <c r="D12" s="249">
        <v>1040300</v>
      </c>
      <c r="E12" s="603">
        <v>1040300</v>
      </c>
      <c r="F12" s="613">
        <f>H12+N12</f>
        <v>200000</v>
      </c>
      <c r="G12" s="377">
        <f>F12/D12</f>
        <v>0.1922522349322311</v>
      </c>
      <c r="H12" s="246">
        <f t="shared" si="3"/>
        <v>0</v>
      </c>
      <c r="I12" s="249"/>
      <c r="J12" s="249"/>
      <c r="K12" s="249"/>
      <c r="L12" s="249"/>
      <c r="M12" s="249"/>
      <c r="N12" s="249">
        <v>200000</v>
      </c>
      <c r="O12" s="237"/>
    </row>
    <row r="13" spans="1:15" s="93" customFormat="1" ht="19.5" customHeight="1" thickBot="1">
      <c r="A13" s="247"/>
      <c r="B13" s="247" t="s">
        <v>174</v>
      </c>
      <c r="C13" s="248" t="s">
        <v>576</v>
      </c>
      <c r="D13" s="249">
        <v>48739</v>
      </c>
      <c r="E13" s="603">
        <v>48739</v>
      </c>
      <c r="F13" s="613">
        <f t="shared" si="2"/>
        <v>0</v>
      </c>
      <c r="G13" s="377">
        <f t="shared" si="0"/>
        <v>0</v>
      </c>
      <c r="H13" s="253">
        <f t="shared" si="3"/>
        <v>0</v>
      </c>
      <c r="I13" s="249"/>
      <c r="J13" s="249"/>
      <c r="K13" s="249"/>
      <c r="L13" s="249"/>
      <c r="M13" s="249"/>
      <c r="N13" s="249"/>
      <c r="O13" s="237"/>
    </row>
    <row r="14" spans="1:15" s="89" customFormat="1" ht="35.25" customHeight="1" thickBot="1">
      <c r="A14" s="583" t="s">
        <v>290</v>
      </c>
      <c r="B14" s="584"/>
      <c r="C14" s="586" t="s">
        <v>180</v>
      </c>
      <c r="D14" s="581">
        <f>D15</f>
        <v>1186000</v>
      </c>
      <c r="E14" s="600">
        <f>E15</f>
        <v>1107260</v>
      </c>
      <c r="F14" s="610">
        <f>F15</f>
        <v>1100000</v>
      </c>
      <c r="G14" s="607">
        <f t="shared" si="0"/>
        <v>0.927487352445194</v>
      </c>
      <c r="H14" s="581">
        <f aca="true" t="shared" si="4" ref="H14:N14">H15</f>
        <v>1100000</v>
      </c>
      <c r="I14" s="581">
        <f t="shared" si="4"/>
        <v>0</v>
      </c>
      <c r="J14" s="581">
        <f t="shared" si="4"/>
        <v>300000</v>
      </c>
      <c r="K14" s="581">
        <f t="shared" si="4"/>
        <v>0</v>
      </c>
      <c r="L14" s="581">
        <f t="shared" si="4"/>
        <v>0</v>
      </c>
      <c r="M14" s="581">
        <f t="shared" si="4"/>
        <v>800000</v>
      </c>
      <c r="N14" s="582">
        <f t="shared" si="4"/>
        <v>0</v>
      </c>
      <c r="O14" s="237"/>
    </row>
    <row r="15" spans="1:15" s="93" customFormat="1" ht="19.5" customHeight="1" thickBot="1">
      <c r="A15" s="251"/>
      <c r="B15" s="251" t="s">
        <v>291</v>
      </c>
      <c r="C15" s="252" t="s">
        <v>181</v>
      </c>
      <c r="D15" s="253">
        <v>1186000</v>
      </c>
      <c r="E15" s="604">
        <v>1107260</v>
      </c>
      <c r="F15" s="614">
        <f t="shared" si="2"/>
        <v>1100000</v>
      </c>
      <c r="G15" s="336">
        <f t="shared" si="0"/>
        <v>0.927487352445194</v>
      </c>
      <c r="H15" s="253">
        <f>SUM(I15:M15)</f>
        <v>1100000</v>
      </c>
      <c r="I15" s="253"/>
      <c r="J15" s="253">
        <v>300000</v>
      </c>
      <c r="K15" s="253"/>
      <c r="L15" s="253"/>
      <c r="M15" s="253">
        <v>800000</v>
      </c>
      <c r="N15" s="253"/>
      <c r="O15" s="237"/>
    </row>
    <row r="16" spans="1:15" s="89" customFormat="1" ht="30.75" customHeight="1" thickBot="1">
      <c r="A16" s="583" t="s">
        <v>292</v>
      </c>
      <c r="B16" s="584"/>
      <c r="C16" s="585" t="s">
        <v>293</v>
      </c>
      <c r="D16" s="581">
        <f>SUM(D17:D18)</f>
        <v>460445</v>
      </c>
      <c r="E16" s="600">
        <f>SUM(E17:E18)</f>
        <v>460211</v>
      </c>
      <c r="F16" s="610">
        <f>SUM(F17:F18)</f>
        <v>777350</v>
      </c>
      <c r="G16" s="607">
        <f t="shared" si="0"/>
        <v>1.6882580981441866</v>
      </c>
      <c r="H16" s="581">
        <f aca="true" t="shared" si="5" ref="H16:N16">SUM(H17:H18)</f>
        <v>85350</v>
      </c>
      <c r="I16" s="581">
        <f t="shared" si="5"/>
        <v>31650</v>
      </c>
      <c r="J16" s="581">
        <f t="shared" si="5"/>
        <v>0</v>
      </c>
      <c r="K16" s="581">
        <f t="shared" si="5"/>
        <v>0</v>
      </c>
      <c r="L16" s="581">
        <f>SUM(L17:L18)</f>
        <v>0</v>
      </c>
      <c r="M16" s="581">
        <f t="shared" si="5"/>
        <v>53700</v>
      </c>
      <c r="N16" s="582">
        <f t="shared" si="5"/>
        <v>692000</v>
      </c>
      <c r="O16" s="237"/>
    </row>
    <row r="17" spans="1:15" s="93" customFormat="1" ht="19.5" customHeight="1">
      <c r="A17" s="244"/>
      <c r="B17" s="244" t="s">
        <v>392</v>
      </c>
      <c r="C17" s="250" t="s">
        <v>391</v>
      </c>
      <c r="D17" s="246">
        <v>20211</v>
      </c>
      <c r="E17" s="601">
        <v>20211</v>
      </c>
      <c r="F17" s="611">
        <f t="shared" si="2"/>
        <v>22700</v>
      </c>
      <c r="G17" s="335">
        <v>0</v>
      </c>
      <c r="H17" s="246">
        <f>SUM(I17:M17)</f>
        <v>22700</v>
      </c>
      <c r="I17" s="246"/>
      <c r="J17" s="246"/>
      <c r="K17" s="246"/>
      <c r="L17" s="246"/>
      <c r="M17" s="246">
        <f>20000+2700</f>
        <v>22700</v>
      </c>
      <c r="N17" s="246"/>
      <c r="O17" s="237"/>
    </row>
    <row r="18" spans="1:15" s="93" customFormat="1" ht="19.5" customHeight="1" thickBot="1">
      <c r="A18" s="247"/>
      <c r="B18" s="247" t="s">
        <v>294</v>
      </c>
      <c r="C18" s="248" t="s">
        <v>295</v>
      </c>
      <c r="D18" s="249">
        <v>440234</v>
      </c>
      <c r="E18" s="603">
        <v>440000</v>
      </c>
      <c r="F18" s="613">
        <f>H18+N18</f>
        <v>754650</v>
      </c>
      <c r="G18" s="377">
        <f>F18/D18</f>
        <v>1.7142019925766752</v>
      </c>
      <c r="H18" s="253">
        <f>SUM(I18:M18)</f>
        <v>62650</v>
      </c>
      <c r="I18" s="249">
        <f>2450+29200</f>
        <v>31650</v>
      </c>
      <c r="J18" s="249"/>
      <c r="K18" s="249"/>
      <c r="L18" s="249"/>
      <c r="M18" s="249">
        <f>10000+20000+1000</f>
        <v>31000</v>
      </c>
      <c r="N18" s="249">
        <f>377000+230000+30000+55000</f>
        <v>692000</v>
      </c>
      <c r="O18" s="237"/>
    </row>
    <row r="19" spans="1:15" s="89" customFormat="1" ht="24.75" customHeight="1" thickBot="1">
      <c r="A19" s="583" t="s">
        <v>296</v>
      </c>
      <c r="B19" s="584"/>
      <c r="C19" s="585" t="s">
        <v>184</v>
      </c>
      <c r="D19" s="581">
        <f>SUM(D20:D21)</f>
        <v>101030</v>
      </c>
      <c r="E19" s="600">
        <f>SUM(E20:E21)</f>
        <v>97229</v>
      </c>
      <c r="F19" s="610">
        <f>SUM(F20:F21)</f>
        <v>343825</v>
      </c>
      <c r="G19" s="607">
        <f t="shared" si="0"/>
        <v>3.403197070177175</v>
      </c>
      <c r="H19" s="581">
        <f aca="true" t="shared" si="6" ref="H19:N19">SUM(H20:H21)</f>
        <v>106825</v>
      </c>
      <c r="I19" s="581">
        <f t="shared" si="6"/>
        <v>0</v>
      </c>
      <c r="J19" s="581">
        <f t="shared" si="6"/>
        <v>0</v>
      </c>
      <c r="K19" s="581">
        <f t="shared" si="6"/>
        <v>0</v>
      </c>
      <c r="L19" s="581">
        <f>SUM(L20:L21)</f>
        <v>0</v>
      </c>
      <c r="M19" s="581">
        <f t="shared" si="6"/>
        <v>106825</v>
      </c>
      <c r="N19" s="582">
        <f t="shared" si="6"/>
        <v>237000</v>
      </c>
      <c r="O19" s="237"/>
    </row>
    <row r="20" spans="1:15" s="93" customFormat="1" ht="19.5" customHeight="1">
      <c r="A20" s="244"/>
      <c r="B20" s="244" t="s">
        <v>297</v>
      </c>
      <c r="C20" s="250" t="s">
        <v>298</v>
      </c>
      <c r="D20" s="246">
        <v>88530</v>
      </c>
      <c r="E20" s="601">
        <v>84960</v>
      </c>
      <c r="F20" s="611">
        <f>H20+N20</f>
        <v>335225</v>
      </c>
      <c r="G20" s="335">
        <f>F20/D20</f>
        <v>3.786569524454987</v>
      </c>
      <c r="H20" s="246">
        <f>SUM(I20:M20)</f>
        <v>98225</v>
      </c>
      <c r="I20" s="246"/>
      <c r="J20" s="246"/>
      <c r="K20" s="246"/>
      <c r="L20" s="246"/>
      <c r="M20" s="246">
        <f>46660+9000+20393+22172</f>
        <v>98225</v>
      </c>
      <c r="N20" s="246">
        <f>225000+12000</f>
        <v>237000</v>
      </c>
      <c r="O20" s="237"/>
    </row>
    <row r="21" spans="1:15" s="93" customFormat="1" ht="19.5" customHeight="1" thickBot="1">
      <c r="A21" s="247"/>
      <c r="B21" s="247" t="s">
        <v>299</v>
      </c>
      <c r="C21" s="248" t="s">
        <v>177</v>
      </c>
      <c r="D21" s="249">
        <v>12500</v>
      </c>
      <c r="E21" s="603">
        <v>12269</v>
      </c>
      <c r="F21" s="613">
        <f>H21+N21</f>
        <v>8600</v>
      </c>
      <c r="G21" s="377">
        <f aca="true" t="shared" si="7" ref="G21:G93">F21/D21</f>
        <v>0.688</v>
      </c>
      <c r="H21" s="253">
        <f>SUM(I21:M21)</f>
        <v>8600</v>
      </c>
      <c r="I21" s="249"/>
      <c r="J21" s="249"/>
      <c r="K21" s="249"/>
      <c r="L21" s="249"/>
      <c r="M21" s="249">
        <f>1500+5100+2000</f>
        <v>8600</v>
      </c>
      <c r="N21" s="249"/>
      <c r="O21" s="237"/>
    </row>
    <row r="22" spans="1:15" s="89" customFormat="1" ht="27.75" customHeight="1" thickBot="1">
      <c r="A22" s="583" t="s">
        <v>300</v>
      </c>
      <c r="B22" s="584"/>
      <c r="C22" s="585" t="s">
        <v>301</v>
      </c>
      <c r="D22" s="581">
        <f>D23</f>
        <v>171180</v>
      </c>
      <c r="E22" s="600">
        <f>E23</f>
        <v>171180</v>
      </c>
      <c r="F22" s="610">
        <f>F23</f>
        <v>50720</v>
      </c>
      <c r="G22" s="607">
        <f t="shared" si="7"/>
        <v>0.2962962962962963</v>
      </c>
      <c r="H22" s="581">
        <f aca="true" t="shared" si="8" ref="H22:N22">H23</f>
        <v>50720</v>
      </c>
      <c r="I22" s="581">
        <f t="shared" si="8"/>
        <v>720</v>
      </c>
      <c r="J22" s="581">
        <f t="shared" si="8"/>
        <v>0</v>
      </c>
      <c r="K22" s="581">
        <f t="shared" si="8"/>
        <v>0</v>
      </c>
      <c r="L22" s="581">
        <f t="shared" si="8"/>
        <v>0</v>
      </c>
      <c r="M22" s="581">
        <f t="shared" si="8"/>
        <v>50000</v>
      </c>
      <c r="N22" s="582">
        <f t="shared" si="8"/>
        <v>0</v>
      </c>
      <c r="O22" s="237"/>
    </row>
    <row r="23" spans="1:15" s="93" customFormat="1" ht="19.5" customHeight="1" thickBot="1">
      <c r="A23" s="251"/>
      <c r="B23" s="251" t="s">
        <v>302</v>
      </c>
      <c r="C23" s="252" t="s">
        <v>303</v>
      </c>
      <c r="D23" s="253">
        <v>171180</v>
      </c>
      <c r="E23" s="604">
        <v>171180</v>
      </c>
      <c r="F23" s="614">
        <f>H23+N23</f>
        <v>50720</v>
      </c>
      <c r="G23" s="336">
        <f t="shared" si="7"/>
        <v>0.2962962962962963</v>
      </c>
      <c r="H23" s="253">
        <f>SUM(I23:M23)</f>
        <v>50720</v>
      </c>
      <c r="I23" s="253">
        <v>720</v>
      </c>
      <c r="J23" s="253"/>
      <c r="K23" s="253"/>
      <c r="L23" s="253"/>
      <c r="M23" s="253">
        <v>50000</v>
      </c>
      <c r="N23" s="253"/>
      <c r="O23" s="237"/>
    </row>
    <row r="24" spans="1:15" s="89" customFormat="1" ht="26.25" customHeight="1" thickBot="1">
      <c r="A24" s="583" t="s">
        <v>304</v>
      </c>
      <c r="B24" s="584"/>
      <c r="C24" s="585" t="s">
        <v>194</v>
      </c>
      <c r="D24" s="600">
        <f>SUM(D25:D30)</f>
        <v>1529735</v>
      </c>
      <c r="E24" s="600">
        <f>SUM(E25:E30)</f>
        <v>1518983</v>
      </c>
      <c r="F24" s="610">
        <f>SUM(F25:F30)</f>
        <v>1560573</v>
      </c>
      <c r="G24" s="607">
        <f t="shared" si="7"/>
        <v>1.0201590471552262</v>
      </c>
      <c r="H24" s="581">
        <f aca="true" t="shared" si="9" ref="H24:N24">SUM(H25:H30)</f>
        <v>1560573</v>
      </c>
      <c r="I24" s="581">
        <f t="shared" si="9"/>
        <v>1119398</v>
      </c>
      <c r="J24" s="581">
        <f t="shared" si="9"/>
        <v>0</v>
      </c>
      <c r="K24" s="581">
        <f t="shared" si="9"/>
        <v>0</v>
      </c>
      <c r="L24" s="581">
        <f t="shared" si="9"/>
        <v>0</v>
      </c>
      <c r="M24" s="581">
        <f t="shared" si="9"/>
        <v>441175</v>
      </c>
      <c r="N24" s="581">
        <f t="shared" si="9"/>
        <v>0</v>
      </c>
      <c r="O24" s="237"/>
    </row>
    <row r="25" spans="1:15" s="93" customFormat="1" ht="19.5" customHeight="1">
      <c r="A25" s="244"/>
      <c r="B25" s="244" t="s">
        <v>305</v>
      </c>
      <c r="C25" s="250" t="s">
        <v>238</v>
      </c>
      <c r="D25" s="246">
        <v>68633</v>
      </c>
      <c r="E25" s="601">
        <v>68633</v>
      </c>
      <c r="F25" s="611">
        <f>H25+N25</f>
        <v>66678</v>
      </c>
      <c r="G25" s="335">
        <f t="shared" si="7"/>
        <v>0.9715151603456064</v>
      </c>
      <c r="H25" s="246">
        <f>SUM(I25:M25)</f>
        <v>66678</v>
      </c>
      <c r="I25" s="246">
        <v>66678</v>
      </c>
      <c r="J25" s="246"/>
      <c r="K25" s="246"/>
      <c r="L25" s="246"/>
      <c r="M25" s="246"/>
      <c r="N25" s="246"/>
      <c r="O25" s="237"/>
    </row>
    <row r="26" spans="1:15" s="93" customFormat="1" ht="19.5" customHeight="1">
      <c r="A26" s="244"/>
      <c r="B26" s="244" t="s">
        <v>579</v>
      </c>
      <c r="C26" s="250" t="s">
        <v>580</v>
      </c>
      <c r="D26" s="246">
        <v>77000</v>
      </c>
      <c r="E26" s="601">
        <v>77000</v>
      </c>
      <c r="F26" s="611"/>
      <c r="G26" s="335"/>
      <c r="H26" s="246"/>
      <c r="I26" s="246"/>
      <c r="J26" s="246"/>
      <c r="K26" s="246"/>
      <c r="L26" s="246"/>
      <c r="M26" s="246"/>
      <c r="N26" s="246"/>
      <c r="O26" s="237"/>
    </row>
    <row r="27" spans="1:15" s="93" customFormat="1" ht="19.5" customHeight="1">
      <c r="A27" s="91"/>
      <c r="B27" s="91" t="s">
        <v>306</v>
      </c>
      <c r="C27" s="94" t="s">
        <v>307</v>
      </c>
      <c r="D27" s="92">
        <v>47850</v>
      </c>
      <c r="E27" s="602">
        <v>47850</v>
      </c>
      <c r="F27" s="612">
        <f>H27+N27</f>
        <v>58000</v>
      </c>
      <c r="G27" s="608">
        <f t="shared" si="7"/>
        <v>1.2121212121212122</v>
      </c>
      <c r="H27" s="246">
        <f>SUM(I27:M27)</f>
        <v>58000</v>
      </c>
      <c r="I27" s="92"/>
      <c r="J27" s="92"/>
      <c r="K27" s="92"/>
      <c r="L27" s="92"/>
      <c r="M27" s="92">
        <f>50000+4000+1500+2000+500</f>
        <v>58000</v>
      </c>
      <c r="N27" s="92"/>
      <c r="O27" s="237"/>
    </row>
    <row r="28" spans="1:15" s="93" customFormat="1" ht="19.5" customHeight="1">
      <c r="A28" s="91"/>
      <c r="B28" s="91" t="s">
        <v>308</v>
      </c>
      <c r="C28" s="94" t="s">
        <v>195</v>
      </c>
      <c r="D28" s="92">
        <v>1310732</v>
      </c>
      <c r="E28" s="602">
        <v>1300000</v>
      </c>
      <c r="F28" s="612">
        <f>H28+N28</f>
        <v>1399549</v>
      </c>
      <c r="G28" s="608">
        <f t="shared" si="7"/>
        <v>1.0677613730343045</v>
      </c>
      <c r="H28" s="246">
        <f>SUM(I28:M28)</f>
        <v>1399549</v>
      </c>
      <c r="I28" s="92">
        <f>807414+63256+132444+21490+12000+14000</f>
        <v>1050604</v>
      </c>
      <c r="J28" s="92"/>
      <c r="K28" s="92"/>
      <c r="L28" s="92"/>
      <c r="M28" s="92">
        <f>1200+60000+12000+94000+1500+52800+3000+4000+15000+50+500+20300+2400+22395+19400+5000+35400</f>
        <v>348945</v>
      </c>
      <c r="N28" s="92"/>
      <c r="O28" s="237"/>
    </row>
    <row r="29" spans="1:15" s="93" customFormat="1" ht="19.5" customHeight="1">
      <c r="A29" s="247"/>
      <c r="B29" s="247" t="s">
        <v>309</v>
      </c>
      <c r="C29" s="248" t="s">
        <v>310</v>
      </c>
      <c r="D29" s="249">
        <v>25520</v>
      </c>
      <c r="E29" s="603">
        <v>25500</v>
      </c>
      <c r="F29" s="613">
        <f>H29+N29</f>
        <v>34846</v>
      </c>
      <c r="G29" s="377">
        <f t="shared" si="7"/>
        <v>1.3654388714733543</v>
      </c>
      <c r="H29" s="246">
        <f>SUM(I29:M29)</f>
        <v>34846</v>
      </c>
      <c r="I29" s="92">
        <f>272+44+1800</f>
        <v>2116</v>
      </c>
      <c r="J29" s="249"/>
      <c r="K29" s="249"/>
      <c r="L29" s="249"/>
      <c r="M29" s="249">
        <f>3000+1200+28530</f>
        <v>32730</v>
      </c>
      <c r="N29" s="249"/>
      <c r="O29" s="237"/>
    </row>
    <row r="30" spans="1:15" s="93" customFormat="1" ht="19.5" customHeight="1" thickBot="1">
      <c r="A30" s="587"/>
      <c r="B30" s="587" t="s">
        <v>577</v>
      </c>
      <c r="C30" s="588" t="s">
        <v>177</v>
      </c>
      <c r="D30" s="589"/>
      <c r="E30" s="605"/>
      <c r="F30" s="615">
        <f>H30+N30</f>
        <v>1500</v>
      </c>
      <c r="G30" s="337"/>
      <c r="H30" s="589">
        <f>SUM(I30:M30)</f>
        <v>1500</v>
      </c>
      <c r="I30" s="589"/>
      <c r="J30" s="589"/>
      <c r="K30" s="589"/>
      <c r="L30" s="589"/>
      <c r="M30" s="589">
        <v>1500</v>
      </c>
      <c r="N30" s="589"/>
      <c r="O30" s="237"/>
    </row>
    <row r="31" spans="1:15" s="89" customFormat="1" ht="9.75" customHeight="1">
      <c r="A31" s="141"/>
      <c r="B31" s="141"/>
      <c r="C31" s="142"/>
      <c r="D31" s="143"/>
      <c r="E31" s="143"/>
      <c r="F31" s="143"/>
      <c r="G31" s="144"/>
      <c r="H31" s="143"/>
      <c r="I31" s="143"/>
      <c r="J31" s="143"/>
      <c r="K31" s="143"/>
      <c r="L31" s="143"/>
      <c r="M31" s="143"/>
      <c r="N31" s="143"/>
      <c r="O31" s="237"/>
    </row>
    <row r="32" spans="1:14" s="44" customFormat="1" ht="6" customHeight="1" thickBot="1">
      <c r="A32" s="590">
        <v>1</v>
      </c>
      <c r="B32" s="590">
        <v>2</v>
      </c>
      <c r="C32" s="590">
        <v>3</v>
      </c>
      <c r="D32" s="590">
        <v>4</v>
      </c>
      <c r="E32" s="590">
        <v>5</v>
      </c>
      <c r="F32" s="590">
        <v>6</v>
      </c>
      <c r="G32" s="590">
        <v>7</v>
      </c>
      <c r="H32" s="590">
        <v>8</v>
      </c>
      <c r="I32" s="590">
        <v>9</v>
      </c>
      <c r="J32" s="590">
        <v>10</v>
      </c>
      <c r="K32" s="590">
        <v>11</v>
      </c>
      <c r="L32" s="590">
        <v>12</v>
      </c>
      <c r="M32" s="590">
        <v>13</v>
      </c>
      <c r="N32" s="590">
        <v>14</v>
      </c>
    </row>
    <row r="33" spans="1:15" s="89" customFormat="1" ht="60.75" thickBot="1">
      <c r="A33" s="583" t="s">
        <v>311</v>
      </c>
      <c r="B33" s="584"/>
      <c r="C33" s="586" t="s">
        <v>241</v>
      </c>
      <c r="D33" s="581">
        <f>SUM(D34:D36)</f>
        <v>25503</v>
      </c>
      <c r="E33" s="600">
        <f>SUM(E34:E36)</f>
        <v>25503</v>
      </c>
      <c r="F33" s="610">
        <f>SUM(F34:F36)</f>
        <v>1020</v>
      </c>
      <c r="G33" s="607">
        <f t="shared" si="7"/>
        <v>0.039995294671215154</v>
      </c>
      <c r="H33" s="581">
        <f aca="true" t="shared" si="10" ref="H33:N33">SUM(H34:H36)</f>
        <v>1020</v>
      </c>
      <c r="I33" s="581">
        <f t="shared" si="10"/>
        <v>1020</v>
      </c>
      <c r="J33" s="581">
        <f t="shared" si="10"/>
        <v>0</v>
      </c>
      <c r="K33" s="581">
        <f t="shared" si="10"/>
        <v>0</v>
      </c>
      <c r="L33" s="581">
        <f>SUM(L34:L36)</f>
        <v>0</v>
      </c>
      <c r="M33" s="581">
        <f t="shared" si="10"/>
        <v>0</v>
      </c>
      <c r="N33" s="582">
        <f t="shared" si="10"/>
        <v>0</v>
      </c>
      <c r="O33" s="237"/>
    </row>
    <row r="34" spans="1:15" s="93" customFormat="1" ht="28.5">
      <c r="A34" s="244"/>
      <c r="B34" s="244" t="s">
        <v>312</v>
      </c>
      <c r="C34" s="250" t="s">
        <v>313</v>
      </c>
      <c r="D34" s="246">
        <v>1005</v>
      </c>
      <c r="E34" s="601">
        <v>1005</v>
      </c>
      <c r="F34" s="611">
        <f>H34+N34</f>
        <v>1020</v>
      </c>
      <c r="G34" s="335">
        <f t="shared" si="7"/>
        <v>1.0149253731343284</v>
      </c>
      <c r="H34" s="246">
        <f>SUM(I34:M34)</f>
        <v>1020</v>
      </c>
      <c r="I34" s="246">
        <v>1020</v>
      </c>
      <c r="J34" s="246"/>
      <c r="K34" s="246"/>
      <c r="L34" s="246"/>
      <c r="M34" s="246"/>
      <c r="N34" s="246"/>
      <c r="O34" s="237"/>
    </row>
    <row r="35" spans="1:15" s="93" customFormat="1" ht="18.75" customHeight="1">
      <c r="A35" s="247"/>
      <c r="B35" s="247" t="s">
        <v>581</v>
      </c>
      <c r="C35" s="248" t="s">
        <v>545</v>
      </c>
      <c r="D35" s="249">
        <v>16680</v>
      </c>
      <c r="E35" s="603">
        <v>16680</v>
      </c>
      <c r="F35" s="613">
        <f>H35+N35</f>
        <v>0</v>
      </c>
      <c r="G35" s="377">
        <f>F35/D35</f>
        <v>0</v>
      </c>
      <c r="H35" s="249"/>
      <c r="I35" s="249"/>
      <c r="J35" s="249"/>
      <c r="K35" s="249"/>
      <c r="L35" s="249"/>
      <c r="M35" s="249"/>
      <c r="N35" s="249"/>
      <c r="O35" s="237"/>
    </row>
    <row r="36" spans="1:15" s="93" customFormat="1" ht="61.5" customHeight="1" thickBot="1">
      <c r="A36" s="247"/>
      <c r="B36" s="247" t="s">
        <v>384</v>
      </c>
      <c r="C36" s="248" t="s">
        <v>278</v>
      </c>
      <c r="D36" s="249">
        <v>7818</v>
      </c>
      <c r="E36" s="603">
        <v>7818</v>
      </c>
      <c r="F36" s="613">
        <f>H36+N36</f>
        <v>0</v>
      </c>
      <c r="G36" s="377">
        <f t="shared" si="7"/>
        <v>0</v>
      </c>
      <c r="H36" s="249"/>
      <c r="I36" s="249"/>
      <c r="J36" s="249"/>
      <c r="K36" s="249"/>
      <c r="L36" s="249"/>
      <c r="M36" s="249"/>
      <c r="N36" s="249"/>
      <c r="O36" s="237"/>
    </row>
    <row r="37" spans="1:15" s="89" customFormat="1" ht="27.75" customHeight="1" thickBot="1">
      <c r="A37" s="583" t="s">
        <v>314</v>
      </c>
      <c r="B37" s="584"/>
      <c r="C37" s="585" t="s">
        <v>243</v>
      </c>
      <c r="D37" s="581">
        <f>D38</f>
        <v>500</v>
      </c>
      <c r="E37" s="600">
        <f>E38</f>
        <v>500</v>
      </c>
      <c r="F37" s="610">
        <f>F38</f>
        <v>500</v>
      </c>
      <c r="G37" s="607">
        <f t="shared" si="7"/>
        <v>1</v>
      </c>
      <c r="H37" s="581">
        <f aca="true" t="shared" si="11" ref="H37:N37">H38</f>
        <v>500</v>
      </c>
      <c r="I37" s="581">
        <f t="shared" si="11"/>
        <v>0</v>
      </c>
      <c r="J37" s="581">
        <f t="shared" si="11"/>
        <v>0</v>
      </c>
      <c r="K37" s="581">
        <f t="shared" si="11"/>
        <v>0</v>
      </c>
      <c r="L37" s="581">
        <f t="shared" si="11"/>
        <v>0</v>
      </c>
      <c r="M37" s="581">
        <f t="shared" si="11"/>
        <v>500</v>
      </c>
      <c r="N37" s="582">
        <f t="shared" si="11"/>
        <v>0</v>
      </c>
      <c r="O37" s="237"/>
    </row>
    <row r="38" spans="1:15" s="93" customFormat="1" ht="19.5" customHeight="1" thickBot="1">
      <c r="A38" s="251"/>
      <c r="B38" s="251" t="s">
        <v>315</v>
      </c>
      <c r="C38" s="252" t="s">
        <v>244</v>
      </c>
      <c r="D38" s="253">
        <v>500</v>
      </c>
      <c r="E38" s="604">
        <v>500</v>
      </c>
      <c r="F38" s="614">
        <f>H38+N38</f>
        <v>500</v>
      </c>
      <c r="G38" s="336">
        <f t="shared" si="7"/>
        <v>1</v>
      </c>
      <c r="H38" s="253">
        <f>SUM(I38:M38)</f>
        <v>500</v>
      </c>
      <c r="I38" s="253"/>
      <c r="J38" s="253"/>
      <c r="K38" s="253"/>
      <c r="L38" s="253"/>
      <c r="M38" s="253">
        <v>500</v>
      </c>
      <c r="N38" s="253"/>
      <c r="O38" s="237"/>
    </row>
    <row r="39" spans="1:15" s="89" customFormat="1" ht="30.75" thickBot="1">
      <c r="A39" s="583" t="s">
        <v>316</v>
      </c>
      <c r="B39" s="584"/>
      <c r="C39" s="586" t="s">
        <v>245</v>
      </c>
      <c r="D39" s="581">
        <f>SUM(D40:D43)</f>
        <v>103581</v>
      </c>
      <c r="E39" s="600">
        <f>SUM(E40:E43)</f>
        <v>102559</v>
      </c>
      <c r="F39" s="610">
        <f>SUM(F40:F43)</f>
        <v>244215</v>
      </c>
      <c r="G39" s="607">
        <f t="shared" si="7"/>
        <v>2.3577200451820315</v>
      </c>
      <c r="H39" s="581">
        <f aca="true" t="shared" si="12" ref="H39:N39">SUM(H40:H43)</f>
        <v>124215</v>
      </c>
      <c r="I39" s="581">
        <f t="shared" si="12"/>
        <v>35815</v>
      </c>
      <c r="J39" s="581">
        <f t="shared" si="12"/>
        <v>0</v>
      </c>
      <c r="K39" s="581">
        <f t="shared" si="12"/>
        <v>0</v>
      </c>
      <c r="L39" s="581">
        <f>SUM(L40:L43)</f>
        <v>0</v>
      </c>
      <c r="M39" s="581">
        <f t="shared" si="12"/>
        <v>88400</v>
      </c>
      <c r="N39" s="582">
        <f t="shared" si="12"/>
        <v>120000</v>
      </c>
      <c r="O39" s="237"/>
    </row>
    <row r="40" spans="1:15" s="93" customFormat="1" ht="19.5" customHeight="1">
      <c r="A40" s="244"/>
      <c r="B40" s="244" t="s">
        <v>317</v>
      </c>
      <c r="C40" s="250" t="s">
        <v>318</v>
      </c>
      <c r="D40" s="246">
        <v>3000</v>
      </c>
      <c r="E40" s="601">
        <v>3000</v>
      </c>
      <c r="F40" s="611">
        <f>H40+N40</f>
        <v>4000</v>
      </c>
      <c r="G40" s="335">
        <f t="shared" si="7"/>
        <v>1.3333333333333333</v>
      </c>
      <c r="H40" s="246">
        <f>SUM(I40:M40)</f>
        <v>4000</v>
      </c>
      <c r="I40" s="246"/>
      <c r="J40" s="246"/>
      <c r="K40" s="246"/>
      <c r="L40" s="246"/>
      <c r="M40" s="246">
        <v>4000</v>
      </c>
      <c r="N40" s="246"/>
      <c r="O40" s="237"/>
    </row>
    <row r="41" spans="1:15" s="93" customFormat="1" ht="19.5" customHeight="1">
      <c r="A41" s="91"/>
      <c r="B41" s="91" t="s">
        <v>319</v>
      </c>
      <c r="C41" s="94" t="s">
        <v>320</v>
      </c>
      <c r="D41" s="92">
        <v>97781</v>
      </c>
      <c r="E41" s="602">
        <v>96759</v>
      </c>
      <c r="F41" s="612">
        <f>H41+N41</f>
        <v>236215</v>
      </c>
      <c r="G41" s="608">
        <f t="shared" si="7"/>
        <v>2.415755617144435</v>
      </c>
      <c r="H41" s="246">
        <f>SUM(I41:M41)</f>
        <v>116215</v>
      </c>
      <c r="I41" s="92">
        <f>34836+979</f>
        <v>35815</v>
      </c>
      <c r="J41" s="92"/>
      <c r="K41" s="92"/>
      <c r="L41" s="92"/>
      <c r="M41" s="92">
        <f>10000+25000+1000+14000+15000+7000+1200+200+7000</f>
        <v>80400</v>
      </c>
      <c r="N41" s="92">
        <v>120000</v>
      </c>
      <c r="O41" s="237"/>
    </row>
    <row r="42" spans="1:15" s="93" customFormat="1" ht="19.5" customHeight="1">
      <c r="A42" s="91"/>
      <c r="B42" s="91" t="s">
        <v>321</v>
      </c>
      <c r="C42" s="94" t="s">
        <v>246</v>
      </c>
      <c r="D42" s="92">
        <v>2800</v>
      </c>
      <c r="E42" s="602">
        <v>2800</v>
      </c>
      <c r="F42" s="612">
        <f>H42+N42</f>
        <v>1000</v>
      </c>
      <c r="G42" s="608">
        <f t="shared" si="7"/>
        <v>0.35714285714285715</v>
      </c>
      <c r="H42" s="246">
        <f>SUM(I42:M42)</f>
        <v>1000</v>
      </c>
      <c r="I42" s="92"/>
      <c r="J42" s="92"/>
      <c r="K42" s="92"/>
      <c r="L42" s="92"/>
      <c r="M42" s="92">
        <v>1000</v>
      </c>
      <c r="N42" s="92"/>
      <c r="O42" s="237"/>
    </row>
    <row r="43" spans="1:15" s="93" customFormat="1" ht="19.5" customHeight="1" thickBot="1">
      <c r="A43" s="247"/>
      <c r="B43" s="247" t="s">
        <v>578</v>
      </c>
      <c r="C43" s="248" t="s">
        <v>554</v>
      </c>
      <c r="D43" s="249"/>
      <c r="E43" s="603"/>
      <c r="F43" s="613">
        <f>H43+N43</f>
        <v>3000</v>
      </c>
      <c r="G43" s="377"/>
      <c r="H43" s="253">
        <f>SUM(I43:M43)</f>
        <v>3000</v>
      </c>
      <c r="I43" s="249"/>
      <c r="J43" s="249"/>
      <c r="K43" s="249"/>
      <c r="L43" s="249"/>
      <c r="M43" s="249">
        <v>3000</v>
      </c>
      <c r="N43" s="249"/>
      <c r="O43" s="237"/>
    </row>
    <row r="44" spans="1:15" s="89" customFormat="1" ht="75.75" thickBot="1">
      <c r="A44" s="583" t="s">
        <v>322</v>
      </c>
      <c r="B44" s="584"/>
      <c r="C44" s="586" t="s">
        <v>323</v>
      </c>
      <c r="D44" s="581">
        <f>D45</f>
        <v>53300</v>
      </c>
      <c r="E44" s="600">
        <f>E45</f>
        <v>53300</v>
      </c>
      <c r="F44" s="610">
        <f>F45</f>
        <v>58310</v>
      </c>
      <c r="G44" s="607">
        <f t="shared" si="7"/>
        <v>1.0939962476547842</v>
      </c>
      <c r="H44" s="581">
        <f aca="true" t="shared" si="13" ref="H44:N44">H45</f>
        <v>58310</v>
      </c>
      <c r="I44" s="581">
        <f t="shared" si="13"/>
        <v>31710</v>
      </c>
      <c r="J44" s="581">
        <f t="shared" si="13"/>
        <v>0</v>
      </c>
      <c r="K44" s="581">
        <f t="shared" si="13"/>
        <v>0</v>
      </c>
      <c r="L44" s="581">
        <f t="shared" si="13"/>
        <v>0</v>
      </c>
      <c r="M44" s="581">
        <f t="shared" si="13"/>
        <v>26600</v>
      </c>
      <c r="N44" s="582">
        <f t="shared" si="13"/>
        <v>0</v>
      </c>
      <c r="O44" s="237"/>
    </row>
    <row r="45" spans="1:15" s="93" customFormat="1" ht="29.25" thickBot="1">
      <c r="A45" s="251"/>
      <c r="B45" s="251" t="s">
        <v>324</v>
      </c>
      <c r="C45" s="252" t="s">
        <v>325</v>
      </c>
      <c r="D45" s="253">
        <v>53300</v>
      </c>
      <c r="E45" s="604">
        <v>53300</v>
      </c>
      <c r="F45" s="614">
        <f>H45+N45</f>
        <v>58310</v>
      </c>
      <c r="G45" s="336">
        <f t="shared" si="7"/>
        <v>1.0939962476547842</v>
      </c>
      <c r="H45" s="253">
        <f>SUM(I45:M45)</f>
        <v>58310</v>
      </c>
      <c r="I45" s="253">
        <f>28000+450+60+3200</f>
        <v>31710</v>
      </c>
      <c r="J45" s="253"/>
      <c r="K45" s="253"/>
      <c r="L45" s="253"/>
      <c r="M45" s="253">
        <f>600+26000</f>
        <v>26600</v>
      </c>
      <c r="N45" s="253"/>
      <c r="O45" s="237"/>
    </row>
    <row r="46" spans="1:15" s="89" customFormat="1" ht="29.25" customHeight="1" thickBot="1">
      <c r="A46" s="583" t="s">
        <v>326</v>
      </c>
      <c r="B46" s="584"/>
      <c r="C46" s="586" t="s">
        <v>327</v>
      </c>
      <c r="D46" s="581">
        <f>D47</f>
        <v>171239</v>
      </c>
      <c r="E46" s="600">
        <f>E47</f>
        <v>171239</v>
      </c>
      <c r="F46" s="610">
        <f>F47</f>
        <v>190000</v>
      </c>
      <c r="G46" s="607">
        <f t="shared" si="7"/>
        <v>1.109560322122881</v>
      </c>
      <c r="H46" s="581">
        <f aca="true" t="shared" si="14" ref="H46:N46">H47</f>
        <v>190000</v>
      </c>
      <c r="I46" s="581">
        <f t="shared" si="14"/>
        <v>0</v>
      </c>
      <c r="J46" s="581">
        <f t="shared" si="14"/>
        <v>0</v>
      </c>
      <c r="K46" s="581">
        <f t="shared" si="14"/>
        <v>185000</v>
      </c>
      <c r="L46" s="581">
        <f t="shared" si="14"/>
        <v>0</v>
      </c>
      <c r="M46" s="581">
        <f t="shared" si="14"/>
        <v>5000</v>
      </c>
      <c r="N46" s="582">
        <f t="shared" si="14"/>
        <v>0</v>
      </c>
      <c r="O46" s="237"/>
    </row>
    <row r="47" spans="1:15" s="93" customFormat="1" ht="37.5" customHeight="1" thickBot="1">
      <c r="A47" s="251"/>
      <c r="B47" s="251" t="s">
        <v>328</v>
      </c>
      <c r="C47" s="252" t="s">
        <v>329</v>
      </c>
      <c r="D47" s="253">
        <v>171239</v>
      </c>
      <c r="E47" s="604">
        <v>171239</v>
      </c>
      <c r="F47" s="614">
        <f>H47+N47</f>
        <v>190000</v>
      </c>
      <c r="G47" s="336">
        <f t="shared" si="7"/>
        <v>1.109560322122881</v>
      </c>
      <c r="H47" s="253">
        <f>SUM(I47:M47)</f>
        <v>190000</v>
      </c>
      <c r="I47" s="253"/>
      <c r="J47" s="253"/>
      <c r="K47" s="253">
        <v>185000</v>
      </c>
      <c r="L47" s="253"/>
      <c r="M47" s="253">
        <v>5000</v>
      </c>
      <c r="N47" s="253"/>
      <c r="O47" s="237"/>
    </row>
    <row r="48" spans="1:15" s="89" customFormat="1" ht="26.25" customHeight="1" thickBot="1">
      <c r="A48" s="583" t="s">
        <v>330</v>
      </c>
      <c r="B48" s="584"/>
      <c r="C48" s="586" t="s">
        <v>267</v>
      </c>
      <c r="D48" s="581">
        <f>D49</f>
        <v>23745</v>
      </c>
      <c r="E48" s="600">
        <f>E49</f>
        <v>23745</v>
      </c>
      <c r="F48" s="610">
        <f>F49</f>
        <v>70000</v>
      </c>
      <c r="G48" s="607">
        <f t="shared" si="7"/>
        <v>2.9479890503263846</v>
      </c>
      <c r="H48" s="581">
        <f aca="true" t="shared" si="15" ref="H48:N48">H49</f>
        <v>70000</v>
      </c>
      <c r="I48" s="581">
        <f t="shared" si="15"/>
        <v>0</v>
      </c>
      <c r="J48" s="581">
        <f t="shared" si="15"/>
        <v>0</v>
      </c>
      <c r="K48" s="581">
        <f t="shared" si="15"/>
        <v>0</v>
      </c>
      <c r="L48" s="581">
        <f t="shared" si="15"/>
        <v>0</v>
      </c>
      <c r="M48" s="581">
        <f t="shared" si="15"/>
        <v>70000</v>
      </c>
      <c r="N48" s="582">
        <f t="shared" si="15"/>
        <v>0</v>
      </c>
      <c r="O48" s="237"/>
    </row>
    <row r="49" spans="1:15" s="93" customFormat="1" ht="19.5" customHeight="1" thickBot="1">
      <c r="A49" s="251"/>
      <c r="B49" s="251" t="s">
        <v>331</v>
      </c>
      <c r="C49" s="252" t="s">
        <v>332</v>
      </c>
      <c r="D49" s="253">
        <v>23745</v>
      </c>
      <c r="E49" s="604">
        <v>23745</v>
      </c>
      <c r="F49" s="614">
        <f>H49+N49</f>
        <v>70000</v>
      </c>
      <c r="G49" s="336">
        <f t="shared" si="7"/>
        <v>2.9479890503263846</v>
      </c>
      <c r="H49" s="253">
        <f>SUM(I49:M49)</f>
        <v>70000</v>
      </c>
      <c r="I49" s="253"/>
      <c r="J49" s="253"/>
      <c r="K49" s="253"/>
      <c r="L49" s="253"/>
      <c r="M49" s="253">
        <v>70000</v>
      </c>
      <c r="N49" s="253"/>
      <c r="O49" s="237"/>
    </row>
    <row r="50" spans="1:15" s="89" customFormat="1" ht="27.75" customHeight="1" thickBot="1">
      <c r="A50" s="583" t="s">
        <v>255</v>
      </c>
      <c r="B50" s="584"/>
      <c r="C50" s="586" t="s">
        <v>268</v>
      </c>
      <c r="D50" s="581">
        <f>D51+D56+D59+D60+D61+D66+D62</f>
        <v>3919817</v>
      </c>
      <c r="E50" s="600">
        <f>E51+E56+E59+E60+E61+E66+E62</f>
        <v>3883225</v>
      </c>
      <c r="F50" s="610">
        <f>F51+F56+F59+F60+F61+F62+F66</f>
        <v>3616556</v>
      </c>
      <c r="G50" s="607">
        <f t="shared" si="7"/>
        <v>0.9226338882657023</v>
      </c>
      <c r="H50" s="581">
        <f aca="true" t="shared" si="16" ref="H50:N50">H51+H56+H59+H60+H61+H62+H66</f>
        <v>3616556</v>
      </c>
      <c r="I50" s="581">
        <f t="shared" si="16"/>
        <v>2826642</v>
      </c>
      <c r="J50" s="581">
        <f t="shared" si="16"/>
        <v>3500</v>
      </c>
      <c r="K50" s="581">
        <f t="shared" si="16"/>
        <v>0</v>
      </c>
      <c r="L50" s="581">
        <f t="shared" si="16"/>
        <v>0</v>
      </c>
      <c r="M50" s="581">
        <f t="shared" si="16"/>
        <v>786414</v>
      </c>
      <c r="N50" s="582">
        <f t="shared" si="16"/>
        <v>0</v>
      </c>
      <c r="O50" s="237"/>
    </row>
    <row r="51" spans="1:15" s="93" customFormat="1" ht="21" customHeight="1">
      <c r="A51" s="244"/>
      <c r="B51" s="625" t="s">
        <v>256</v>
      </c>
      <c r="C51" s="626" t="s">
        <v>333</v>
      </c>
      <c r="D51" s="627">
        <f>SUM(D52:D53)</f>
        <v>2109268</v>
      </c>
      <c r="E51" s="628">
        <f>SUM(E52:E53)</f>
        <v>2110638</v>
      </c>
      <c r="F51" s="629">
        <f>SUM(F52:F53)</f>
        <v>2001460</v>
      </c>
      <c r="G51" s="630">
        <f t="shared" si="7"/>
        <v>0.9488884295404851</v>
      </c>
      <c r="H51" s="627">
        <f aca="true" t="shared" si="17" ref="H51:N51">SUM(H52:H53)</f>
        <v>2001460</v>
      </c>
      <c r="I51" s="627">
        <f t="shared" si="17"/>
        <v>1659830</v>
      </c>
      <c r="J51" s="627">
        <f t="shared" si="17"/>
        <v>0</v>
      </c>
      <c r="K51" s="627">
        <f t="shared" si="17"/>
        <v>0</v>
      </c>
      <c r="L51" s="627">
        <f t="shared" si="17"/>
        <v>0</v>
      </c>
      <c r="M51" s="627">
        <f t="shared" si="17"/>
        <v>341630</v>
      </c>
      <c r="N51" s="627">
        <f t="shared" si="17"/>
        <v>0</v>
      </c>
      <c r="O51" s="237"/>
    </row>
    <row r="52" spans="1:15" s="93" customFormat="1" ht="19.5" customHeight="1">
      <c r="A52" s="91"/>
      <c r="B52" s="244"/>
      <c r="C52" s="621" t="s">
        <v>334</v>
      </c>
      <c r="D52" s="622">
        <f>1457083+8189</f>
        <v>1465272</v>
      </c>
      <c r="E52" s="623">
        <v>1463650</v>
      </c>
      <c r="F52" s="624">
        <f aca="true" t="shared" si="18" ref="F52:F101">H52+N52</f>
        <v>1402870</v>
      </c>
      <c r="G52" s="335">
        <f t="shared" si="7"/>
        <v>0.9574126851533368</v>
      </c>
      <c r="H52" s="596">
        <f>SUM(I52:M52)</f>
        <v>1402870</v>
      </c>
      <c r="I52" s="622">
        <f>912860+69800+155980+25100</f>
        <v>1163740</v>
      </c>
      <c r="J52" s="622"/>
      <c r="K52" s="622"/>
      <c r="L52" s="622"/>
      <c r="M52" s="622">
        <f>68130+64000+1000+16900+1000+16500+3500+3500+1800+3600+53500+1300+1000+3400</f>
        <v>239130</v>
      </c>
      <c r="N52" s="622"/>
      <c r="O52" s="237"/>
    </row>
    <row r="53" spans="1:15" s="93" customFormat="1" ht="19.5" customHeight="1" thickBot="1">
      <c r="A53" s="587"/>
      <c r="B53" s="587"/>
      <c r="C53" s="592" t="s">
        <v>335</v>
      </c>
      <c r="D53" s="594">
        <v>643996</v>
      </c>
      <c r="E53" s="617">
        <v>646988</v>
      </c>
      <c r="F53" s="619">
        <f t="shared" si="18"/>
        <v>598590</v>
      </c>
      <c r="G53" s="337">
        <f t="shared" si="7"/>
        <v>0.9294933508903782</v>
      </c>
      <c r="H53" s="595">
        <f>SUM(I53:M53)</f>
        <v>598590</v>
      </c>
      <c r="I53" s="594">
        <f>381000+36140+68000+10950</f>
        <v>496090</v>
      </c>
      <c r="J53" s="594"/>
      <c r="K53" s="594"/>
      <c r="L53" s="594"/>
      <c r="M53" s="594">
        <f>31230+16000+500+6920+500+12740+800+3000+1800+2100+23560+650+600+2100</f>
        <v>102500</v>
      </c>
      <c r="N53" s="594"/>
      <c r="O53" s="237"/>
    </row>
    <row r="54" spans="1:15" s="89" customFormat="1" ht="7.5" customHeight="1">
      <c r="A54" s="141"/>
      <c r="B54" s="141"/>
      <c r="C54" s="142"/>
      <c r="D54" s="143"/>
      <c r="E54" s="143"/>
      <c r="F54" s="143"/>
      <c r="G54" s="144"/>
      <c r="H54" s="143"/>
      <c r="I54" s="143"/>
      <c r="J54" s="143"/>
      <c r="K54" s="143"/>
      <c r="L54" s="143"/>
      <c r="M54" s="143"/>
      <c r="N54" s="143"/>
      <c r="O54" s="237"/>
    </row>
    <row r="55" spans="1:14" s="44" customFormat="1" ht="6" customHeight="1" thickBot="1">
      <c r="A55" s="254">
        <v>1</v>
      </c>
      <c r="B55" s="254">
        <v>2</v>
      </c>
      <c r="C55" s="254">
        <v>3</v>
      </c>
      <c r="D55" s="254">
        <v>4</v>
      </c>
      <c r="E55" s="254">
        <v>5</v>
      </c>
      <c r="F55" s="590">
        <v>6</v>
      </c>
      <c r="G55" s="254">
        <v>7</v>
      </c>
      <c r="H55" s="254">
        <v>8</v>
      </c>
      <c r="I55" s="254">
        <v>9</v>
      </c>
      <c r="J55" s="254">
        <v>10</v>
      </c>
      <c r="K55" s="254">
        <v>11</v>
      </c>
      <c r="L55" s="254">
        <v>12</v>
      </c>
      <c r="M55" s="254">
        <v>13</v>
      </c>
      <c r="N55" s="254">
        <v>14</v>
      </c>
    </row>
    <row r="56" spans="1:15" s="93" customFormat="1" ht="21.75" customHeight="1">
      <c r="A56" s="244"/>
      <c r="B56" s="631" t="s">
        <v>336</v>
      </c>
      <c r="C56" s="632" t="s">
        <v>337</v>
      </c>
      <c r="D56" s="633">
        <f>SUM(D57:D58)</f>
        <v>252274</v>
      </c>
      <c r="E56" s="634">
        <f>SUM(E57:E58)</f>
        <v>238696</v>
      </c>
      <c r="F56" s="629">
        <f>SUM(F57:F58)</f>
        <v>210160</v>
      </c>
      <c r="G56" s="334">
        <f>F56/D56</f>
        <v>0.8330624638290113</v>
      </c>
      <c r="H56" s="633">
        <f>SUM(H57:H58)</f>
        <v>210160</v>
      </c>
      <c r="I56" s="633">
        <f aca="true" t="shared" si="19" ref="I56:N56">SUM(I57:I58)</f>
        <v>168460</v>
      </c>
      <c r="J56" s="633">
        <f t="shared" si="19"/>
        <v>0</v>
      </c>
      <c r="K56" s="633">
        <f t="shared" si="19"/>
        <v>0</v>
      </c>
      <c r="L56" s="633">
        <f t="shared" si="19"/>
        <v>0</v>
      </c>
      <c r="M56" s="633">
        <f t="shared" si="19"/>
        <v>41700</v>
      </c>
      <c r="N56" s="633">
        <f t="shared" si="19"/>
        <v>0</v>
      </c>
      <c r="O56" s="237"/>
    </row>
    <row r="57" spans="1:15" s="93" customFormat="1" ht="19.5" customHeight="1">
      <c r="A57" s="91"/>
      <c r="B57" s="244"/>
      <c r="C57" s="621" t="s">
        <v>334</v>
      </c>
      <c r="D57" s="622">
        <v>165320</v>
      </c>
      <c r="E57" s="623">
        <v>164500</v>
      </c>
      <c r="F57" s="624">
        <f>H57+N57</f>
        <v>162420</v>
      </c>
      <c r="G57" s="335">
        <f>F57/D57</f>
        <v>0.9824582627631261</v>
      </c>
      <c r="H57" s="596">
        <f aca="true" t="shared" si="20" ref="H57:H69">SUM(I57:M57)</f>
        <v>162420</v>
      </c>
      <c r="I57" s="622">
        <f>106350+7480+17900+2880</f>
        <v>134610</v>
      </c>
      <c r="J57" s="622"/>
      <c r="K57" s="622"/>
      <c r="L57" s="622"/>
      <c r="M57" s="622">
        <f>7110+8000+600+2700+200+1500+700+200+100+6450+250</f>
        <v>27810</v>
      </c>
      <c r="N57" s="622"/>
      <c r="O57" s="237"/>
    </row>
    <row r="58" spans="1:15" s="93" customFormat="1" ht="19.5" customHeight="1">
      <c r="A58" s="91"/>
      <c r="B58" s="91"/>
      <c r="C58" s="591" t="s">
        <v>335</v>
      </c>
      <c r="D58" s="593">
        <v>86954</v>
      </c>
      <c r="E58" s="616">
        <v>74196</v>
      </c>
      <c r="F58" s="618">
        <f t="shared" si="18"/>
        <v>47740</v>
      </c>
      <c r="G58" s="608">
        <f t="shared" si="7"/>
        <v>0.5490259217517308</v>
      </c>
      <c r="H58" s="596">
        <f t="shared" si="20"/>
        <v>47740</v>
      </c>
      <c r="I58" s="593">
        <f>26320+2110+4670+750</f>
        <v>33850</v>
      </c>
      <c r="J58" s="593"/>
      <c r="K58" s="593"/>
      <c r="L58" s="593"/>
      <c r="M58" s="593">
        <f>2250+5000+300+980+100+1500+500+200+300+2610+150</f>
        <v>13890</v>
      </c>
      <c r="N58" s="593"/>
      <c r="O58" s="237"/>
    </row>
    <row r="59" spans="1:15" s="93" customFormat="1" ht="21.75" customHeight="1">
      <c r="A59" s="91"/>
      <c r="B59" s="91" t="s">
        <v>387</v>
      </c>
      <c r="C59" s="94" t="s">
        <v>388</v>
      </c>
      <c r="D59" s="92">
        <v>1712</v>
      </c>
      <c r="E59" s="602">
        <v>1712</v>
      </c>
      <c r="F59" s="612">
        <f t="shared" si="18"/>
        <v>3500</v>
      </c>
      <c r="G59" s="608">
        <f t="shared" si="7"/>
        <v>2.044392523364486</v>
      </c>
      <c r="H59" s="246">
        <f t="shared" si="20"/>
        <v>3500</v>
      </c>
      <c r="I59" s="92"/>
      <c r="J59" s="92">
        <v>3500</v>
      </c>
      <c r="K59" s="92"/>
      <c r="L59" s="92"/>
      <c r="M59" s="92"/>
      <c r="N59" s="92"/>
      <c r="O59" s="237"/>
    </row>
    <row r="60" spans="1:15" s="93" customFormat="1" ht="21.75" customHeight="1">
      <c r="A60" s="91"/>
      <c r="B60" s="91" t="s">
        <v>259</v>
      </c>
      <c r="C60" s="94" t="s">
        <v>260</v>
      </c>
      <c r="D60" s="92">
        <f>1115883+8189</f>
        <v>1124072</v>
      </c>
      <c r="E60" s="602">
        <v>1112796</v>
      </c>
      <c r="F60" s="612">
        <f t="shared" si="18"/>
        <v>1121828</v>
      </c>
      <c r="G60" s="608">
        <f t="shared" si="7"/>
        <v>0.9980036865965881</v>
      </c>
      <c r="H60" s="246">
        <f t="shared" si="20"/>
        <v>1121828</v>
      </c>
      <c r="I60" s="90">
        <f>706138+55210+123000+19800</f>
        <v>904148</v>
      </c>
      <c r="J60" s="92"/>
      <c r="K60" s="92"/>
      <c r="L60" s="92"/>
      <c r="M60" s="92">
        <f>48380+81000+1500+15300+500+14000+2500+3500+1000+4200+42000+1000+800+2000</f>
        <v>217680</v>
      </c>
      <c r="N60" s="92"/>
      <c r="O60" s="237"/>
    </row>
    <row r="61" spans="1:15" s="93" customFormat="1" ht="21.75" customHeight="1">
      <c r="A61" s="91"/>
      <c r="B61" s="247" t="s">
        <v>338</v>
      </c>
      <c r="C61" s="248" t="s">
        <v>339</v>
      </c>
      <c r="D61" s="249">
        <v>201222</v>
      </c>
      <c r="E61" s="603">
        <v>188120</v>
      </c>
      <c r="F61" s="613">
        <f t="shared" si="18"/>
        <v>203418</v>
      </c>
      <c r="G61" s="377">
        <f t="shared" si="7"/>
        <v>1.0109133196171394</v>
      </c>
      <c r="H61" s="253">
        <f t="shared" si="20"/>
        <v>203418</v>
      </c>
      <c r="I61" s="249">
        <f>69934+5100+11483+1887+5000</f>
        <v>93404</v>
      </c>
      <c r="J61" s="249"/>
      <c r="K61" s="249"/>
      <c r="L61" s="249"/>
      <c r="M61" s="249">
        <f>57000+4000+42000+100+4500+2414</f>
        <v>110014</v>
      </c>
      <c r="N61" s="249"/>
      <c r="O61" s="237"/>
    </row>
    <row r="62" spans="1:15" s="93" customFormat="1" ht="19.5" customHeight="1">
      <c r="A62" s="91"/>
      <c r="B62" s="631" t="s">
        <v>390</v>
      </c>
      <c r="C62" s="632" t="s">
        <v>367</v>
      </c>
      <c r="D62" s="633">
        <f>SUM(D63:D65)</f>
        <v>14277</v>
      </c>
      <c r="E62" s="634">
        <f>SUM(E63:E65)</f>
        <v>14277</v>
      </c>
      <c r="F62" s="636">
        <f>SUM(F63:F65)</f>
        <v>14290</v>
      </c>
      <c r="G62" s="334">
        <f>F62/D62</f>
        <v>1.0009105554388176</v>
      </c>
      <c r="H62" s="633">
        <f t="shared" si="20"/>
        <v>14290</v>
      </c>
      <c r="I62" s="633">
        <f aca="true" t="shared" si="21" ref="I62:N62">SUM(I63:I65)</f>
        <v>0</v>
      </c>
      <c r="J62" s="633">
        <f t="shared" si="21"/>
        <v>0</v>
      </c>
      <c r="K62" s="633">
        <f t="shared" si="21"/>
        <v>0</v>
      </c>
      <c r="L62" s="633">
        <f>SUM(L63:L65)</f>
        <v>0</v>
      </c>
      <c r="M62" s="633">
        <f t="shared" si="21"/>
        <v>14290</v>
      </c>
      <c r="N62" s="633">
        <f t="shared" si="21"/>
        <v>0</v>
      </c>
      <c r="O62" s="237"/>
    </row>
    <row r="63" spans="1:15" s="93" customFormat="1" ht="19.5" customHeight="1">
      <c r="A63" s="91"/>
      <c r="B63" s="244"/>
      <c r="C63" s="621" t="s">
        <v>334</v>
      </c>
      <c r="D63" s="622">
        <v>6445</v>
      </c>
      <c r="E63" s="623">
        <v>6445</v>
      </c>
      <c r="F63" s="624">
        <f>H63+N63</f>
        <v>6650</v>
      </c>
      <c r="G63" s="335">
        <f>F63/D63</f>
        <v>1.0318076027928627</v>
      </c>
      <c r="H63" s="596">
        <f t="shared" si="20"/>
        <v>6650</v>
      </c>
      <c r="I63" s="622"/>
      <c r="J63" s="622"/>
      <c r="K63" s="622"/>
      <c r="L63" s="622"/>
      <c r="M63" s="622">
        <v>6650</v>
      </c>
      <c r="N63" s="622"/>
      <c r="O63" s="237"/>
    </row>
    <row r="64" spans="1:15" s="93" customFormat="1" ht="19.5" customHeight="1">
      <c r="A64" s="91"/>
      <c r="B64" s="91"/>
      <c r="C64" s="591" t="s">
        <v>335</v>
      </c>
      <c r="D64" s="593">
        <v>3282</v>
      </c>
      <c r="E64" s="616">
        <v>3282</v>
      </c>
      <c r="F64" s="618">
        <f>H64+N64</f>
        <v>2750</v>
      </c>
      <c r="G64" s="608">
        <f>F64/D64</f>
        <v>0.837903717245582</v>
      </c>
      <c r="H64" s="596">
        <f t="shared" si="20"/>
        <v>2750</v>
      </c>
      <c r="I64" s="593"/>
      <c r="J64" s="593"/>
      <c r="K64" s="593"/>
      <c r="L64" s="593"/>
      <c r="M64" s="593">
        <v>2750</v>
      </c>
      <c r="N64" s="593"/>
      <c r="O64" s="237"/>
    </row>
    <row r="65" spans="1:15" s="93" customFormat="1" ht="19.5" customHeight="1">
      <c r="A65" s="91"/>
      <c r="B65" s="247"/>
      <c r="C65" s="597" t="s">
        <v>389</v>
      </c>
      <c r="D65" s="598">
        <v>4550</v>
      </c>
      <c r="E65" s="635">
        <v>4550</v>
      </c>
      <c r="F65" s="637">
        <f>H65+N65</f>
        <v>4890</v>
      </c>
      <c r="G65" s="377">
        <f>F65/D65</f>
        <v>1.0747252747252747</v>
      </c>
      <c r="H65" s="620">
        <f t="shared" si="20"/>
        <v>4890</v>
      </c>
      <c r="I65" s="598"/>
      <c r="J65" s="598"/>
      <c r="K65" s="598"/>
      <c r="L65" s="598"/>
      <c r="M65" s="598">
        <v>4890</v>
      </c>
      <c r="N65" s="598"/>
      <c r="O65" s="237"/>
    </row>
    <row r="66" spans="1:15" s="93" customFormat="1" ht="21" customHeight="1">
      <c r="A66" s="91"/>
      <c r="B66" s="631" t="s">
        <v>279</v>
      </c>
      <c r="C66" s="632" t="s">
        <v>177</v>
      </c>
      <c r="D66" s="633">
        <f>SUM(D67:D69)</f>
        <v>216992</v>
      </c>
      <c r="E66" s="634">
        <f>SUM(E67:E69)</f>
        <v>216986</v>
      </c>
      <c r="F66" s="636">
        <f>SUM(F67:F69)</f>
        <v>61900</v>
      </c>
      <c r="G66" s="334">
        <f t="shared" si="7"/>
        <v>0.2852639728653591</v>
      </c>
      <c r="H66" s="633">
        <f t="shared" si="20"/>
        <v>61900</v>
      </c>
      <c r="I66" s="633">
        <f aca="true" t="shared" si="22" ref="I66:N66">SUM(I67:I69)</f>
        <v>800</v>
      </c>
      <c r="J66" s="633">
        <f t="shared" si="22"/>
        <v>0</v>
      </c>
      <c r="K66" s="633">
        <f t="shared" si="22"/>
        <v>0</v>
      </c>
      <c r="L66" s="633">
        <f>SUM(L67:L69)</f>
        <v>0</v>
      </c>
      <c r="M66" s="633">
        <f t="shared" si="22"/>
        <v>61100</v>
      </c>
      <c r="N66" s="633">
        <f t="shared" si="22"/>
        <v>0</v>
      </c>
      <c r="O66" s="237"/>
    </row>
    <row r="67" spans="1:15" s="93" customFormat="1" ht="19.5" customHeight="1">
      <c r="A67" s="91"/>
      <c r="B67" s="244"/>
      <c r="C67" s="621" t="s">
        <v>334</v>
      </c>
      <c r="D67" s="622">
        <v>16760</v>
      </c>
      <c r="E67" s="623">
        <v>16760</v>
      </c>
      <c r="F67" s="624">
        <f t="shared" si="18"/>
        <v>17647</v>
      </c>
      <c r="G67" s="335">
        <f t="shared" si="7"/>
        <v>1.0529236276849643</v>
      </c>
      <c r="H67" s="596">
        <f t="shared" si="20"/>
        <v>17647</v>
      </c>
      <c r="I67" s="622"/>
      <c r="J67" s="622"/>
      <c r="K67" s="622"/>
      <c r="L67" s="622"/>
      <c r="M67" s="622">
        <f>30000-M68</f>
        <v>17647</v>
      </c>
      <c r="N67" s="622"/>
      <c r="O67" s="237"/>
    </row>
    <row r="68" spans="1:15" s="93" customFormat="1" ht="19.5" customHeight="1">
      <c r="A68" s="247"/>
      <c r="B68" s="247"/>
      <c r="C68" s="597" t="s">
        <v>335</v>
      </c>
      <c r="D68" s="598">
        <v>11732</v>
      </c>
      <c r="E68" s="635">
        <v>11732</v>
      </c>
      <c r="F68" s="637">
        <f>H68+N68</f>
        <v>12353</v>
      </c>
      <c r="G68" s="377">
        <f>F68/D68</f>
        <v>1.0529321513808387</v>
      </c>
      <c r="H68" s="596">
        <f>SUM(I68:M68)</f>
        <v>12353</v>
      </c>
      <c r="I68" s="598"/>
      <c r="J68" s="598"/>
      <c r="K68" s="598"/>
      <c r="L68" s="598"/>
      <c r="M68" s="598">
        <v>12353</v>
      </c>
      <c r="N68" s="598"/>
      <c r="O68" s="237"/>
    </row>
    <row r="69" spans="1:15" s="93" customFormat="1" ht="19.5" customHeight="1" thickBot="1">
      <c r="A69" s="247"/>
      <c r="B69" s="247"/>
      <c r="C69" s="597" t="s">
        <v>582</v>
      </c>
      <c r="D69" s="598">
        <f>180000+1500+7000</f>
        <v>188500</v>
      </c>
      <c r="E69" s="635">
        <f>177000+10000+1494</f>
        <v>188494</v>
      </c>
      <c r="F69" s="637">
        <f t="shared" si="18"/>
        <v>31900</v>
      </c>
      <c r="G69" s="377">
        <f t="shared" si="7"/>
        <v>0.16923076923076924</v>
      </c>
      <c r="H69" s="620">
        <f t="shared" si="20"/>
        <v>31900</v>
      </c>
      <c r="I69" s="598">
        <v>800</v>
      </c>
      <c r="J69" s="598"/>
      <c r="K69" s="598"/>
      <c r="L69" s="598"/>
      <c r="M69" s="598">
        <f>1100+30000</f>
        <v>31100</v>
      </c>
      <c r="N69" s="598"/>
      <c r="O69" s="237"/>
    </row>
    <row r="70" spans="1:15" s="89" customFormat="1" ht="25.5" customHeight="1" thickBot="1">
      <c r="A70" s="583" t="s">
        <v>340</v>
      </c>
      <c r="B70" s="584"/>
      <c r="C70" s="586" t="s">
        <v>271</v>
      </c>
      <c r="D70" s="581">
        <f>SUM(D71:D73)</f>
        <v>169000</v>
      </c>
      <c r="E70" s="600">
        <f>SUM(E71:E73)</f>
        <v>167800</v>
      </c>
      <c r="F70" s="610">
        <f>SUM(F71:F73)</f>
        <v>2881300</v>
      </c>
      <c r="G70" s="607">
        <f t="shared" si="7"/>
        <v>17.049112426035503</v>
      </c>
      <c r="H70" s="581">
        <f aca="true" t="shared" si="23" ref="H70:N70">SUM(H71:H73)</f>
        <v>73300</v>
      </c>
      <c r="I70" s="581">
        <f t="shared" si="23"/>
        <v>9900</v>
      </c>
      <c r="J70" s="581">
        <f t="shared" si="23"/>
        <v>35000</v>
      </c>
      <c r="K70" s="581">
        <f t="shared" si="23"/>
        <v>0</v>
      </c>
      <c r="L70" s="581">
        <f>SUM(L71:L73)</f>
        <v>0</v>
      </c>
      <c r="M70" s="581">
        <f t="shared" si="23"/>
        <v>28400</v>
      </c>
      <c r="N70" s="582">
        <f t="shared" si="23"/>
        <v>2808000</v>
      </c>
      <c r="O70" s="237"/>
    </row>
    <row r="71" spans="1:15" s="93" customFormat="1" ht="21.75" customHeight="1">
      <c r="A71" s="244"/>
      <c r="B71" s="244" t="s">
        <v>341</v>
      </c>
      <c r="C71" s="250" t="s">
        <v>272</v>
      </c>
      <c r="D71" s="246">
        <v>107000</v>
      </c>
      <c r="E71" s="601">
        <v>105800</v>
      </c>
      <c r="F71" s="611">
        <f t="shared" si="18"/>
        <v>2818000</v>
      </c>
      <c r="G71" s="335">
        <f t="shared" si="7"/>
        <v>26.33644859813084</v>
      </c>
      <c r="H71" s="246">
        <f>SUM(I71:M71)</f>
        <v>10000</v>
      </c>
      <c r="I71" s="246"/>
      <c r="J71" s="246">
        <v>10000</v>
      </c>
      <c r="K71" s="246"/>
      <c r="L71" s="246"/>
      <c r="M71" s="246"/>
      <c r="N71" s="246">
        <f>2353000+455000</f>
        <v>2808000</v>
      </c>
      <c r="O71" s="237"/>
    </row>
    <row r="72" spans="1:15" s="93" customFormat="1" ht="21.75" customHeight="1">
      <c r="A72" s="91"/>
      <c r="B72" s="91" t="s">
        <v>342</v>
      </c>
      <c r="C72" s="94" t="s">
        <v>343</v>
      </c>
      <c r="D72" s="92">
        <v>500</v>
      </c>
      <c r="E72" s="602">
        <v>500</v>
      </c>
      <c r="F72" s="612">
        <f t="shared" si="18"/>
        <v>1000</v>
      </c>
      <c r="G72" s="608">
        <f t="shared" si="7"/>
        <v>2</v>
      </c>
      <c r="H72" s="246">
        <f>SUM(I72:M72)</f>
        <v>1000</v>
      </c>
      <c r="I72" s="92"/>
      <c r="J72" s="92"/>
      <c r="K72" s="92"/>
      <c r="L72" s="92"/>
      <c r="M72" s="92">
        <v>1000</v>
      </c>
      <c r="N72" s="92"/>
      <c r="O72" s="237"/>
    </row>
    <row r="73" spans="1:15" s="93" customFormat="1" ht="21.75" customHeight="1" thickBot="1">
      <c r="A73" s="247"/>
      <c r="B73" s="247" t="s">
        <v>344</v>
      </c>
      <c r="C73" s="248" t="s">
        <v>345</v>
      </c>
      <c r="D73" s="249">
        <v>61500</v>
      </c>
      <c r="E73" s="603">
        <v>61500</v>
      </c>
      <c r="F73" s="613">
        <f t="shared" si="18"/>
        <v>62300</v>
      </c>
      <c r="G73" s="377">
        <f t="shared" si="7"/>
        <v>1.0130081300813008</v>
      </c>
      <c r="H73" s="253">
        <f>SUM(I73:M73)</f>
        <v>62300</v>
      </c>
      <c r="I73" s="249">
        <v>9900</v>
      </c>
      <c r="J73" s="249">
        <f>5000+20000</f>
        <v>25000</v>
      </c>
      <c r="K73" s="249"/>
      <c r="L73" s="249"/>
      <c r="M73" s="249">
        <f>10000+10000+7000+400</f>
        <v>27400</v>
      </c>
      <c r="N73" s="249"/>
      <c r="O73" s="237"/>
    </row>
    <row r="74" spans="1:15" s="89" customFormat="1" ht="26.25" customHeight="1" thickBot="1">
      <c r="A74" s="583" t="s">
        <v>346</v>
      </c>
      <c r="B74" s="584"/>
      <c r="C74" s="586" t="s">
        <v>226</v>
      </c>
      <c r="D74" s="581">
        <f>SUM(D75:D81)</f>
        <v>3062594</v>
      </c>
      <c r="E74" s="600">
        <f>SUM(E75:E81)</f>
        <v>3062594</v>
      </c>
      <c r="F74" s="610">
        <f>SUM(F75:F81)</f>
        <v>3277720</v>
      </c>
      <c r="G74" s="607">
        <f t="shared" si="7"/>
        <v>1.0702430684576538</v>
      </c>
      <c r="H74" s="581">
        <f aca="true" t="shared" si="24" ref="H74:N74">SUM(H75:H81)</f>
        <v>3277720</v>
      </c>
      <c r="I74" s="581">
        <f t="shared" si="24"/>
        <v>579043</v>
      </c>
      <c r="J74" s="581">
        <f t="shared" si="24"/>
        <v>45000</v>
      </c>
      <c r="K74" s="581">
        <f t="shared" si="24"/>
        <v>0</v>
      </c>
      <c r="L74" s="581">
        <f t="shared" si="24"/>
        <v>0</v>
      </c>
      <c r="M74" s="581">
        <f t="shared" si="24"/>
        <v>2653677</v>
      </c>
      <c r="N74" s="581">
        <f t="shared" si="24"/>
        <v>0</v>
      </c>
      <c r="O74" s="237"/>
    </row>
    <row r="75" spans="1:15" s="93" customFormat="1" ht="21" customHeight="1">
      <c r="A75" s="244"/>
      <c r="B75" s="244" t="s">
        <v>347</v>
      </c>
      <c r="C75" s="250" t="s">
        <v>348</v>
      </c>
      <c r="D75" s="246">
        <v>26350</v>
      </c>
      <c r="E75" s="601">
        <f aca="true" t="shared" si="25" ref="E75:E80">D75</f>
        <v>26350</v>
      </c>
      <c r="F75" s="611">
        <f t="shared" si="18"/>
        <v>60000</v>
      </c>
      <c r="G75" s="335">
        <f t="shared" si="7"/>
        <v>2.2770398481973433</v>
      </c>
      <c r="H75" s="246">
        <f aca="true" t="shared" si="26" ref="H75:H80">SUM(I75:M75)</f>
        <v>60000</v>
      </c>
      <c r="I75" s="246"/>
      <c r="J75" s="246"/>
      <c r="K75" s="246"/>
      <c r="L75" s="246"/>
      <c r="M75" s="246">
        <v>60000</v>
      </c>
      <c r="N75" s="246"/>
      <c r="O75" s="237"/>
    </row>
    <row r="76" spans="1:15" s="93" customFormat="1" ht="42.75">
      <c r="A76" s="91"/>
      <c r="B76" s="91" t="s">
        <v>349</v>
      </c>
      <c r="C76" s="94" t="s">
        <v>261</v>
      </c>
      <c r="D76" s="92">
        <v>1578000</v>
      </c>
      <c r="E76" s="602">
        <f t="shared" si="25"/>
        <v>1578000</v>
      </c>
      <c r="F76" s="612">
        <f t="shared" si="18"/>
        <v>1599000</v>
      </c>
      <c r="G76" s="608">
        <f t="shared" si="7"/>
        <v>1.0133079847908746</v>
      </c>
      <c r="H76" s="246">
        <f t="shared" si="26"/>
        <v>1599000</v>
      </c>
      <c r="I76" s="92">
        <f>33155+2500+22652+874</f>
        <v>59181</v>
      </c>
      <c r="J76" s="92"/>
      <c r="K76" s="92"/>
      <c r="L76" s="92"/>
      <c r="M76" s="92">
        <f>1533987+1000+1000+719+1713+700+700</f>
        <v>1539819</v>
      </c>
      <c r="N76" s="92"/>
      <c r="O76" s="237"/>
    </row>
    <row r="77" spans="1:15" s="93" customFormat="1" ht="57">
      <c r="A77" s="91"/>
      <c r="B77" s="91" t="s">
        <v>350</v>
      </c>
      <c r="C77" s="94" t="s">
        <v>262</v>
      </c>
      <c r="D77" s="92">
        <v>18000</v>
      </c>
      <c r="E77" s="602">
        <f t="shared" si="25"/>
        <v>18000</v>
      </c>
      <c r="F77" s="612">
        <f t="shared" si="18"/>
        <v>20000</v>
      </c>
      <c r="G77" s="608">
        <f t="shared" si="7"/>
        <v>1.1111111111111112</v>
      </c>
      <c r="H77" s="246">
        <f t="shared" si="26"/>
        <v>20000</v>
      </c>
      <c r="I77" s="92">
        <v>20000</v>
      </c>
      <c r="J77" s="92"/>
      <c r="K77" s="92"/>
      <c r="L77" s="92"/>
      <c r="M77" s="92"/>
      <c r="N77" s="92"/>
      <c r="O77" s="237"/>
    </row>
    <row r="78" spans="1:15" s="93" customFormat="1" ht="28.5">
      <c r="A78" s="91"/>
      <c r="B78" s="91" t="s">
        <v>351</v>
      </c>
      <c r="C78" s="94" t="s">
        <v>263</v>
      </c>
      <c r="D78" s="92">
        <v>611304</v>
      </c>
      <c r="E78" s="602">
        <f t="shared" si="25"/>
        <v>611304</v>
      </c>
      <c r="F78" s="612">
        <f t="shared" si="18"/>
        <v>711000</v>
      </c>
      <c r="G78" s="608">
        <f t="shared" si="7"/>
        <v>1.1630874327666758</v>
      </c>
      <c r="H78" s="246">
        <f t="shared" si="26"/>
        <v>711000</v>
      </c>
      <c r="I78" s="92"/>
      <c r="J78" s="92"/>
      <c r="K78" s="92"/>
      <c r="L78" s="92"/>
      <c r="M78" s="92">
        <v>711000</v>
      </c>
      <c r="N78" s="92"/>
      <c r="O78" s="237"/>
    </row>
    <row r="79" spans="1:15" s="93" customFormat="1" ht="22.5" customHeight="1">
      <c r="A79" s="91"/>
      <c r="B79" s="91" t="s">
        <v>352</v>
      </c>
      <c r="C79" s="94" t="s">
        <v>353</v>
      </c>
      <c r="D79" s="92">
        <v>95900</v>
      </c>
      <c r="E79" s="602">
        <f t="shared" si="25"/>
        <v>95900</v>
      </c>
      <c r="F79" s="612">
        <f>H79+N79</f>
        <v>120000</v>
      </c>
      <c r="G79" s="608">
        <f t="shared" si="7"/>
        <v>1.251303441084463</v>
      </c>
      <c r="H79" s="246">
        <f t="shared" si="26"/>
        <v>120000</v>
      </c>
      <c r="I79" s="92"/>
      <c r="J79" s="92"/>
      <c r="K79" s="92"/>
      <c r="L79" s="92"/>
      <c r="M79" s="92">
        <v>120000</v>
      </c>
      <c r="N79" s="92"/>
      <c r="O79" s="237"/>
    </row>
    <row r="80" spans="1:15" s="93" customFormat="1" ht="22.5" customHeight="1">
      <c r="A80" s="91"/>
      <c r="B80" s="91" t="s">
        <v>354</v>
      </c>
      <c r="C80" s="94" t="s">
        <v>227</v>
      </c>
      <c r="D80" s="92">
        <v>467260</v>
      </c>
      <c r="E80" s="602">
        <f t="shared" si="25"/>
        <v>467260</v>
      </c>
      <c r="F80" s="612">
        <f t="shared" si="18"/>
        <v>544220</v>
      </c>
      <c r="G80" s="608">
        <f t="shared" si="7"/>
        <v>1.1647048752300646</v>
      </c>
      <c r="H80" s="246">
        <f t="shared" si="26"/>
        <v>544220</v>
      </c>
      <c r="I80" s="92">
        <f>399166+23800+66533+10363</f>
        <v>499862</v>
      </c>
      <c r="J80" s="92"/>
      <c r="K80" s="92"/>
      <c r="L80" s="92"/>
      <c r="M80" s="92">
        <f>9500+2500+800+3200+800+2200+500+1000+14558+4000+1500+3800</f>
        <v>44358</v>
      </c>
      <c r="N80" s="92"/>
      <c r="O80" s="237"/>
    </row>
    <row r="81" spans="1:15" s="93" customFormat="1" ht="22.5" customHeight="1" thickBot="1">
      <c r="A81" s="587"/>
      <c r="B81" s="587" t="s">
        <v>355</v>
      </c>
      <c r="C81" s="588" t="s">
        <v>177</v>
      </c>
      <c r="D81" s="589">
        <v>265780</v>
      </c>
      <c r="E81" s="605">
        <f>D81</f>
        <v>265780</v>
      </c>
      <c r="F81" s="615">
        <f t="shared" si="18"/>
        <v>223500</v>
      </c>
      <c r="G81" s="337">
        <f t="shared" si="7"/>
        <v>0.840921062532922</v>
      </c>
      <c r="H81" s="589">
        <f>SUM(I81:N81)</f>
        <v>223500</v>
      </c>
      <c r="I81" s="589"/>
      <c r="J81" s="589">
        <v>45000</v>
      </c>
      <c r="K81" s="589"/>
      <c r="L81" s="589"/>
      <c r="M81" s="589">
        <v>178500</v>
      </c>
      <c r="N81" s="589"/>
      <c r="O81" s="237"/>
    </row>
    <row r="82" spans="1:15" s="89" customFormat="1" ht="16.5" customHeight="1">
      <c r="A82" s="141"/>
      <c r="B82" s="141"/>
      <c r="C82" s="142"/>
      <c r="D82" s="143"/>
      <c r="E82" s="143"/>
      <c r="F82" s="143"/>
      <c r="G82" s="144"/>
      <c r="H82" s="143"/>
      <c r="I82" s="143"/>
      <c r="J82" s="143"/>
      <c r="K82" s="143"/>
      <c r="L82" s="143"/>
      <c r="M82" s="143"/>
      <c r="N82" s="143"/>
      <c r="O82" s="237"/>
    </row>
    <row r="83" spans="1:15" s="44" customFormat="1" ht="8.25" customHeight="1" thickBot="1">
      <c r="A83" s="590">
        <v>1</v>
      </c>
      <c r="B83" s="590">
        <v>2</v>
      </c>
      <c r="C83" s="590">
        <v>3</v>
      </c>
      <c r="D83" s="590">
        <v>4</v>
      </c>
      <c r="E83" s="590">
        <v>5</v>
      </c>
      <c r="F83" s="590">
        <v>6</v>
      </c>
      <c r="G83" s="590">
        <v>7</v>
      </c>
      <c r="H83" s="590">
        <v>8</v>
      </c>
      <c r="I83" s="590">
        <v>9</v>
      </c>
      <c r="J83" s="590">
        <v>10</v>
      </c>
      <c r="K83" s="590">
        <v>11</v>
      </c>
      <c r="L83" s="590">
        <v>12</v>
      </c>
      <c r="M83" s="590">
        <v>13</v>
      </c>
      <c r="N83" s="590">
        <v>14</v>
      </c>
      <c r="O83" s="237"/>
    </row>
    <row r="84" spans="1:15" s="89" customFormat="1" ht="30.75" thickBot="1">
      <c r="A84" s="583" t="s">
        <v>356</v>
      </c>
      <c r="B84" s="584"/>
      <c r="C84" s="586" t="s">
        <v>273</v>
      </c>
      <c r="D84" s="581">
        <f>SUM(D85:D87)</f>
        <v>180223</v>
      </c>
      <c r="E84" s="600">
        <f>SUM(E85:E87)</f>
        <v>180223</v>
      </c>
      <c r="F84" s="610">
        <f>SUM(F85:F87)</f>
        <v>13600</v>
      </c>
      <c r="G84" s="607">
        <f t="shared" si="7"/>
        <v>0.07546206643991056</v>
      </c>
      <c r="H84" s="581">
        <f aca="true" t="shared" si="27" ref="H84:N84">SUM(H85:H87)</f>
        <v>13600</v>
      </c>
      <c r="I84" s="581">
        <f t="shared" si="27"/>
        <v>0</v>
      </c>
      <c r="J84" s="581">
        <f t="shared" si="27"/>
        <v>0</v>
      </c>
      <c r="K84" s="581">
        <f t="shared" si="27"/>
        <v>0</v>
      </c>
      <c r="L84" s="581">
        <f>SUM(L85:L87)</f>
        <v>0</v>
      </c>
      <c r="M84" s="581">
        <f t="shared" si="27"/>
        <v>13600</v>
      </c>
      <c r="N84" s="582">
        <f t="shared" si="27"/>
        <v>0</v>
      </c>
      <c r="O84" s="237"/>
    </row>
    <row r="85" spans="1:15" s="93" customFormat="1" ht="19.5" customHeight="1">
      <c r="A85" s="244"/>
      <c r="B85" s="255" t="s">
        <v>362</v>
      </c>
      <c r="C85" s="256" t="s">
        <v>363</v>
      </c>
      <c r="D85" s="257"/>
      <c r="E85" s="638"/>
      <c r="F85" s="641">
        <f t="shared" si="18"/>
        <v>3600</v>
      </c>
      <c r="G85" s="376"/>
      <c r="H85" s="257">
        <f>SUM(I85:M85)</f>
        <v>3600</v>
      </c>
      <c r="I85" s="257"/>
      <c r="J85" s="257"/>
      <c r="K85" s="257"/>
      <c r="L85" s="257"/>
      <c r="M85" s="257">
        <v>3600</v>
      </c>
      <c r="N85" s="257"/>
      <c r="O85" s="237"/>
    </row>
    <row r="86" spans="1:15" s="93" customFormat="1" ht="42.75">
      <c r="A86" s="244"/>
      <c r="B86" s="244" t="s">
        <v>364</v>
      </c>
      <c r="C86" s="250" t="s">
        <v>365</v>
      </c>
      <c r="D86" s="246">
        <v>10000</v>
      </c>
      <c r="E86" s="601">
        <v>10000</v>
      </c>
      <c r="F86" s="611">
        <f t="shared" si="18"/>
        <v>10000</v>
      </c>
      <c r="G86" s="335">
        <f t="shared" si="7"/>
        <v>1</v>
      </c>
      <c r="H86" s="246">
        <f>SUM(I86:M86)</f>
        <v>10000</v>
      </c>
      <c r="I86" s="246"/>
      <c r="J86" s="246"/>
      <c r="K86" s="246"/>
      <c r="L86" s="246"/>
      <c r="M86" s="246">
        <v>10000</v>
      </c>
      <c r="N86" s="246"/>
      <c r="O86" s="237"/>
    </row>
    <row r="87" spans="1:15" s="93" customFormat="1" ht="19.5" customHeight="1" thickBot="1">
      <c r="A87" s="247"/>
      <c r="B87" s="247" t="s">
        <v>366</v>
      </c>
      <c r="C87" s="248" t="s">
        <v>264</v>
      </c>
      <c r="D87" s="249">
        <v>170223</v>
      </c>
      <c r="E87" s="603">
        <v>170223</v>
      </c>
      <c r="F87" s="613">
        <f t="shared" si="18"/>
        <v>0</v>
      </c>
      <c r="G87" s="377">
        <f t="shared" si="7"/>
        <v>0</v>
      </c>
      <c r="H87" s="249"/>
      <c r="I87" s="249"/>
      <c r="J87" s="249"/>
      <c r="K87" s="249"/>
      <c r="L87" s="249"/>
      <c r="M87" s="249"/>
      <c r="N87" s="249"/>
      <c r="O87" s="237"/>
    </row>
    <row r="88" spans="1:15" s="89" customFormat="1" ht="30.75" thickBot="1">
      <c r="A88" s="583" t="s">
        <v>368</v>
      </c>
      <c r="B88" s="584"/>
      <c r="C88" s="586" t="s">
        <v>274</v>
      </c>
      <c r="D88" s="581">
        <f>SUM(D89:D94)</f>
        <v>862188</v>
      </c>
      <c r="E88" s="600">
        <f>SUM(E89:E94)</f>
        <v>853092</v>
      </c>
      <c r="F88" s="610">
        <f>SUM(F89:F94)</f>
        <v>698150</v>
      </c>
      <c r="G88" s="607">
        <f t="shared" si="7"/>
        <v>0.8097421907982946</v>
      </c>
      <c r="H88" s="581">
        <f aca="true" t="shared" si="28" ref="H88:N88">SUM(H89:H94)</f>
        <v>218150</v>
      </c>
      <c r="I88" s="581">
        <f t="shared" si="28"/>
        <v>0</v>
      </c>
      <c r="J88" s="581">
        <f t="shared" si="28"/>
        <v>0</v>
      </c>
      <c r="K88" s="581">
        <f t="shared" si="28"/>
        <v>0</v>
      </c>
      <c r="L88" s="581">
        <f>SUM(L89:L94)</f>
        <v>0</v>
      </c>
      <c r="M88" s="581">
        <f t="shared" si="28"/>
        <v>218150</v>
      </c>
      <c r="N88" s="582">
        <f t="shared" si="28"/>
        <v>480000</v>
      </c>
      <c r="O88" s="237"/>
    </row>
    <row r="89" spans="1:15" s="93" customFormat="1" ht="19.5" customHeight="1">
      <c r="A89" s="244"/>
      <c r="B89" s="244" t="s">
        <v>583</v>
      </c>
      <c r="C89" s="250" t="s">
        <v>275</v>
      </c>
      <c r="D89" s="246">
        <v>508262</v>
      </c>
      <c r="E89" s="601">
        <v>508262</v>
      </c>
      <c r="F89" s="611">
        <f t="shared" si="18"/>
        <v>0</v>
      </c>
      <c r="G89" s="335">
        <v>0</v>
      </c>
      <c r="H89" s="246">
        <f aca="true" t="shared" si="29" ref="H89:H94">SUM(I89:M89)</f>
        <v>0</v>
      </c>
      <c r="I89" s="246"/>
      <c r="J89" s="246"/>
      <c r="K89" s="246"/>
      <c r="L89" s="246"/>
      <c r="M89" s="246"/>
      <c r="N89" s="246"/>
      <c r="O89" s="237"/>
    </row>
    <row r="90" spans="1:15" s="93" customFormat="1" ht="19.5" customHeight="1">
      <c r="A90" s="244"/>
      <c r="B90" s="244" t="s">
        <v>370</v>
      </c>
      <c r="C90" s="250" t="s">
        <v>371</v>
      </c>
      <c r="D90" s="246">
        <f>111576</f>
        <v>111576</v>
      </c>
      <c r="E90" s="601">
        <v>110076</v>
      </c>
      <c r="F90" s="612">
        <f t="shared" si="18"/>
        <v>250</v>
      </c>
      <c r="G90" s="335">
        <v>0</v>
      </c>
      <c r="H90" s="246">
        <f t="shared" si="29"/>
        <v>250</v>
      </c>
      <c r="I90" s="246"/>
      <c r="J90" s="246"/>
      <c r="K90" s="246"/>
      <c r="L90" s="246"/>
      <c r="M90" s="246">
        <v>250</v>
      </c>
      <c r="N90" s="246"/>
      <c r="O90" s="237"/>
    </row>
    <row r="91" spans="1:15" s="93" customFormat="1" ht="20.25" customHeight="1">
      <c r="A91" s="91"/>
      <c r="B91" s="91" t="s">
        <v>372</v>
      </c>
      <c r="C91" s="94" t="s">
        <v>369</v>
      </c>
      <c r="D91" s="92">
        <f>21862</f>
        <v>21862</v>
      </c>
      <c r="E91" s="602">
        <f>21300</f>
        <v>21300</v>
      </c>
      <c r="F91" s="612">
        <f t="shared" si="18"/>
        <v>481300</v>
      </c>
      <c r="G91" s="608">
        <f t="shared" si="7"/>
        <v>22.015369133656574</v>
      </c>
      <c r="H91" s="246">
        <f t="shared" si="29"/>
        <v>1300</v>
      </c>
      <c r="I91" s="92"/>
      <c r="J91" s="92"/>
      <c r="K91" s="92"/>
      <c r="L91" s="92"/>
      <c r="M91" s="92">
        <v>1300</v>
      </c>
      <c r="N91" s="92">
        <v>480000</v>
      </c>
      <c r="O91" s="237"/>
    </row>
    <row r="92" spans="1:15" s="93" customFormat="1" ht="19.5" customHeight="1">
      <c r="A92" s="91"/>
      <c r="B92" s="91" t="s">
        <v>584</v>
      </c>
      <c r="C92" s="94" t="s">
        <v>553</v>
      </c>
      <c r="D92" s="92">
        <v>8965</v>
      </c>
      <c r="E92" s="602">
        <v>3965</v>
      </c>
      <c r="F92" s="612">
        <f t="shared" si="18"/>
        <v>5000</v>
      </c>
      <c r="G92" s="608">
        <f>F92/D92</f>
        <v>0.5577244841048522</v>
      </c>
      <c r="H92" s="246">
        <f t="shared" si="29"/>
        <v>5000</v>
      </c>
      <c r="I92" s="92"/>
      <c r="J92" s="92"/>
      <c r="K92" s="92"/>
      <c r="L92" s="92"/>
      <c r="M92" s="92">
        <v>5000</v>
      </c>
      <c r="N92" s="92"/>
      <c r="O92" s="237"/>
    </row>
    <row r="93" spans="1:15" s="93" customFormat="1" ht="19.5" customHeight="1">
      <c r="A93" s="91"/>
      <c r="B93" s="91" t="s">
        <v>385</v>
      </c>
      <c r="C93" s="94" t="s">
        <v>386</v>
      </c>
      <c r="D93" s="92">
        <v>208000</v>
      </c>
      <c r="E93" s="602">
        <v>208000</v>
      </c>
      <c r="F93" s="612">
        <f t="shared" si="18"/>
        <v>208000</v>
      </c>
      <c r="G93" s="608">
        <f t="shared" si="7"/>
        <v>1</v>
      </c>
      <c r="H93" s="246">
        <f t="shared" si="29"/>
        <v>208000</v>
      </c>
      <c r="I93" s="92"/>
      <c r="J93" s="92"/>
      <c r="K93" s="92"/>
      <c r="L93" s="92"/>
      <c r="M93" s="92">
        <v>208000</v>
      </c>
      <c r="N93" s="92"/>
      <c r="O93" s="237"/>
    </row>
    <row r="94" spans="1:15" s="93" customFormat="1" ht="19.5" customHeight="1" thickBot="1">
      <c r="A94" s="247"/>
      <c r="B94" s="247" t="s">
        <v>373</v>
      </c>
      <c r="C94" s="248" t="s">
        <v>374</v>
      </c>
      <c r="D94" s="249">
        <v>3523</v>
      </c>
      <c r="E94" s="603">
        <v>1489</v>
      </c>
      <c r="F94" s="613">
        <f t="shared" si="18"/>
        <v>3600</v>
      </c>
      <c r="G94" s="377">
        <f aca="true" t="shared" si="30" ref="G94:G102">F94/D94</f>
        <v>1.021856372409878</v>
      </c>
      <c r="H94" s="253">
        <f t="shared" si="29"/>
        <v>3600</v>
      </c>
      <c r="I94" s="249"/>
      <c r="J94" s="249"/>
      <c r="K94" s="249"/>
      <c r="L94" s="249"/>
      <c r="M94" s="249">
        <v>3600</v>
      </c>
      <c r="N94" s="249"/>
      <c r="O94" s="237"/>
    </row>
    <row r="95" spans="1:15" s="89" customFormat="1" ht="30.75" thickBot="1">
      <c r="A95" s="583" t="s">
        <v>375</v>
      </c>
      <c r="B95" s="584"/>
      <c r="C95" s="586" t="s">
        <v>276</v>
      </c>
      <c r="D95" s="581">
        <f>SUM(D96:D98)</f>
        <v>350050</v>
      </c>
      <c r="E95" s="600">
        <f>SUM(E96:E98)</f>
        <v>350001</v>
      </c>
      <c r="F95" s="610">
        <f>SUM(F96:F98)</f>
        <v>874000</v>
      </c>
      <c r="G95" s="607">
        <f t="shared" si="30"/>
        <v>2.4967861734037995</v>
      </c>
      <c r="H95" s="581">
        <f aca="true" t="shared" si="31" ref="H95:N95">SUM(H96:H98)</f>
        <v>307000</v>
      </c>
      <c r="I95" s="581">
        <f t="shared" si="31"/>
        <v>0</v>
      </c>
      <c r="J95" s="581">
        <f t="shared" si="31"/>
        <v>307000</v>
      </c>
      <c r="K95" s="581">
        <f t="shared" si="31"/>
        <v>0</v>
      </c>
      <c r="L95" s="581">
        <f>SUM(L96:L98)</f>
        <v>0</v>
      </c>
      <c r="M95" s="581">
        <f t="shared" si="31"/>
        <v>0</v>
      </c>
      <c r="N95" s="582">
        <f t="shared" si="31"/>
        <v>567000</v>
      </c>
      <c r="O95" s="237"/>
    </row>
    <row r="96" spans="1:15" s="93" customFormat="1" ht="19.5" customHeight="1">
      <c r="A96" s="244"/>
      <c r="B96" s="244" t="s">
        <v>376</v>
      </c>
      <c r="C96" s="250" t="s">
        <v>277</v>
      </c>
      <c r="D96" s="246">
        <v>144550</v>
      </c>
      <c r="E96" s="601">
        <v>144501</v>
      </c>
      <c r="F96" s="611">
        <f t="shared" si="18"/>
        <v>210000</v>
      </c>
      <c r="G96" s="335">
        <f t="shared" si="30"/>
        <v>1.4527845036319613</v>
      </c>
      <c r="H96" s="246">
        <f>SUM(I96:M96)</f>
        <v>110000</v>
      </c>
      <c r="I96" s="246"/>
      <c r="J96" s="246">
        <v>110000</v>
      </c>
      <c r="K96" s="246"/>
      <c r="L96" s="246"/>
      <c r="M96" s="246"/>
      <c r="N96" s="246">
        <v>100000</v>
      </c>
      <c r="O96" s="237"/>
    </row>
    <row r="97" spans="1:15" s="93" customFormat="1" ht="19.5" customHeight="1">
      <c r="A97" s="91"/>
      <c r="B97" s="91" t="s">
        <v>377</v>
      </c>
      <c r="C97" s="94" t="s">
        <v>281</v>
      </c>
      <c r="D97" s="92">
        <v>195500</v>
      </c>
      <c r="E97" s="602">
        <v>195500</v>
      </c>
      <c r="F97" s="612">
        <f t="shared" si="18"/>
        <v>644000</v>
      </c>
      <c r="G97" s="608">
        <f t="shared" si="30"/>
        <v>3.2941176470588234</v>
      </c>
      <c r="H97" s="246">
        <f>SUM(I97:M97)</f>
        <v>177000</v>
      </c>
      <c r="I97" s="92"/>
      <c r="J97" s="92">
        <v>177000</v>
      </c>
      <c r="K97" s="92"/>
      <c r="L97" s="92"/>
      <c r="M97" s="92"/>
      <c r="N97" s="92">
        <v>467000</v>
      </c>
      <c r="O97" s="237"/>
    </row>
    <row r="98" spans="1:15" s="93" customFormat="1" ht="19.5" customHeight="1" thickBot="1">
      <c r="A98" s="247"/>
      <c r="B98" s="247" t="s">
        <v>378</v>
      </c>
      <c r="C98" s="248" t="s">
        <v>379</v>
      </c>
      <c r="D98" s="249">
        <v>10000</v>
      </c>
      <c r="E98" s="603">
        <v>10000</v>
      </c>
      <c r="F98" s="613">
        <f t="shared" si="18"/>
        <v>20000</v>
      </c>
      <c r="G98" s="377">
        <f t="shared" si="30"/>
        <v>2</v>
      </c>
      <c r="H98" s="253">
        <f>SUM(I98:M98)</f>
        <v>20000</v>
      </c>
      <c r="I98" s="249"/>
      <c r="J98" s="249">
        <v>20000</v>
      </c>
      <c r="K98" s="249"/>
      <c r="L98" s="249"/>
      <c r="M98" s="249"/>
      <c r="N98" s="249"/>
      <c r="O98" s="237"/>
    </row>
    <row r="99" spans="1:15" s="89" customFormat="1" ht="19.5" customHeight="1" thickBot="1">
      <c r="A99" s="583" t="s">
        <v>380</v>
      </c>
      <c r="B99" s="584"/>
      <c r="C99" s="586" t="s">
        <v>381</v>
      </c>
      <c r="D99" s="581">
        <f>SUM(D100:D101)</f>
        <v>103700</v>
      </c>
      <c r="E99" s="600">
        <f>SUM(E100:E101)</f>
        <v>103684</v>
      </c>
      <c r="F99" s="610">
        <f>SUM(F100:F101)</f>
        <v>287800</v>
      </c>
      <c r="G99" s="607">
        <f t="shared" si="30"/>
        <v>2.7753134040501446</v>
      </c>
      <c r="H99" s="581">
        <f aca="true" t="shared" si="32" ref="H99:N99">SUM(H100:H101)</f>
        <v>87800</v>
      </c>
      <c r="I99" s="581">
        <f t="shared" si="32"/>
        <v>0</v>
      </c>
      <c r="J99" s="581">
        <f t="shared" si="32"/>
        <v>87800</v>
      </c>
      <c r="K99" s="581">
        <f t="shared" si="32"/>
        <v>0</v>
      </c>
      <c r="L99" s="581">
        <f t="shared" si="32"/>
        <v>0</v>
      </c>
      <c r="M99" s="581">
        <f t="shared" si="32"/>
        <v>0</v>
      </c>
      <c r="N99" s="582">
        <f t="shared" si="32"/>
        <v>200000</v>
      </c>
      <c r="O99" s="237"/>
    </row>
    <row r="100" spans="1:15" s="93" customFormat="1" ht="19.5" customHeight="1">
      <c r="A100" s="244"/>
      <c r="B100" s="244" t="s">
        <v>585</v>
      </c>
      <c r="C100" s="250" t="s">
        <v>548</v>
      </c>
      <c r="D100" s="246">
        <v>15900</v>
      </c>
      <c r="E100" s="601">
        <v>15884</v>
      </c>
      <c r="F100" s="611">
        <f>H100+N100</f>
        <v>200000</v>
      </c>
      <c r="G100" s="335">
        <f>F100/D100</f>
        <v>12.578616352201259</v>
      </c>
      <c r="H100" s="246">
        <f>SUM(I100:M100)</f>
        <v>0</v>
      </c>
      <c r="I100" s="246"/>
      <c r="J100" s="246"/>
      <c r="K100" s="246"/>
      <c r="L100" s="246"/>
      <c r="M100" s="246"/>
      <c r="N100" s="246">
        <v>200000</v>
      </c>
      <c r="O100" s="237"/>
    </row>
    <row r="101" spans="1:15" s="93" customFormat="1" ht="19.5" customHeight="1">
      <c r="A101" s="255"/>
      <c r="B101" s="255" t="s">
        <v>382</v>
      </c>
      <c r="C101" s="256" t="s">
        <v>383</v>
      </c>
      <c r="D101" s="257">
        <v>87800</v>
      </c>
      <c r="E101" s="638">
        <f>D101</f>
        <v>87800</v>
      </c>
      <c r="F101" s="611">
        <f t="shared" si="18"/>
        <v>87800</v>
      </c>
      <c r="G101" s="336">
        <f t="shared" si="30"/>
        <v>1</v>
      </c>
      <c r="H101" s="246">
        <f>SUM(I101:M101)</f>
        <v>87800</v>
      </c>
      <c r="I101" s="257"/>
      <c r="J101" s="257">
        <v>87800</v>
      </c>
      <c r="K101" s="257"/>
      <c r="L101" s="257"/>
      <c r="M101" s="257"/>
      <c r="N101" s="257"/>
      <c r="O101" s="237"/>
    </row>
    <row r="102" spans="1:15" s="105" customFormat="1" ht="24.75" customHeight="1" thickBot="1">
      <c r="A102" s="653" t="s">
        <v>126</v>
      </c>
      <c r="B102" s="654"/>
      <c r="C102" s="655"/>
      <c r="D102" s="106">
        <f>D99+D95+D88+D84+D74+D70+D50+D48+D46+D44+D39+D37+D33+D24+D22+D19+D16+D14+D7</f>
        <v>14882990</v>
      </c>
      <c r="E102" s="639">
        <f>E99+E95+E88+E84+E74+E70+E50+E48+E46+E44+E39+E37+E33+E24+E22+E19+E16+E14+E7</f>
        <v>14699412</v>
      </c>
      <c r="F102" s="640">
        <f>F99+F95+F88+F84+F74+F70+F50+F48+F46+F44+F39+F37+F33+F24+F22+F19+F16+F14+F7</f>
        <v>22070949</v>
      </c>
      <c r="G102" s="334">
        <f t="shared" si="30"/>
        <v>1.4829647134077224</v>
      </c>
      <c r="H102" s="106">
        <f aca="true" t="shared" si="33" ref="H102:N102">H99+H95+H88+H84+H74+H70+H50+H48+H46+H44+H39+H37+H33+H24+H22+H19+H16+H14+H7</f>
        <v>10989449</v>
      </c>
      <c r="I102" s="106">
        <f t="shared" si="33"/>
        <v>4658947</v>
      </c>
      <c r="J102" s="106">
        <f t="shared" si="33"/>
        <v>778300</v>
      </c>
      <c r="K102" s="106">
        <f t="shared" si="33"/>
        <v>185000</v>
      </c>
      <c r="L102" s="106">
        <f t="shared" si="33"/>
        <v>0</v>
      </c>
      <c r="M102" s="106">
        <f t="shared" si="33"/>
        <v>5367202</v>
      </c>
      <c r="N102" s="106">
        <f t="shared" si="33"/>
        <v>11081500</v>
      </c>
      <c r="O102" s="237"/>
    </row>
    <row r="103" ht="12.75">
      <c r="O103" s="104"/>
    </row>
    <row r="104" spans="1:14" ht="12.75">
      <c r="A104" s="58"/>
      <c r="C104" s="44" t="s">
        <v>472</v>
      </c>
      <c r="H104" s="85"/>
      <c r="J104" s="85"/>
      <c r="N104" s="85"/>
    </row>
    <row r="106" ht="12.75">
      <c r="F106" s="85"/>
    </row>
    <row r="108" ht="12.75">
      <c r="J108" s="85"/>
    </row>
  </sheetData>
  <mergeCells count="13">
    <mergeCell ref="N4:N5"/>
    <mergeCell ref="A102:C102"/>
    <mergeCell ref="A1:N1"/>
    <mergeCell ref="F3:F5"/>
    <mergeCell ref="A3:A5"/>
    <mergeCell ref="C3:C5"/>
    <mergeCell ref="B3:B5"/>
    <mergeCell ref="H3:N3"/>
    <mergeCell ref="I4:M4"/>
    <mergeCell ref="H4:H5"/>
    <mergeCell ref="D3:D5"/>
    <mergeCell ref="E3:E5"/>
    <mergeCell ref="G3:G5"/>
  </mergeCells>
  <printOptions horizontalCentered="1"/>
  <pageMargins left="0.1968503937007874" right="0.1968503937007874" top="0.9448818897637796" bottom="0.5905511811023623" header="0.31496062992125984" footer="0.31496062992125984"/>
  <pageSetup horizontalDpi="600" verticalDpi="600" orientation="landscape" paperSize="9" scale="75" r:id="rId1"/>
  <headerFooter alignWithMargins="0">
    <oddHeader>&amp;R&amp;"Arial CE,Pogrubiony"Załącznik nr &amp;A&amp;"Arial CE,Standardowy"
&amp;9do Uchwały Rady Gminy w Miłkowicach Nr ...............
z dnia ..............................</oddHeader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6"/>
  <dimension ref="A1:N81"/>
  <sheetViews>
    <sheetView tabSelected="1" zoomScale="83" zoomScaleNormal="83" workbookViewId="0" topLeftCell="A34">
      <selection activeCell="A55" sqref="A55:IV58"/>
    </sheetView>
  </sheetViews>
  <sheetFormatPr defaultColWidth="9.00390625" defaultRowHeight="18.75" customHeight="1"/>
  <cols>
    <col min="1" max="1" width="4.25390625" style="171" customWidth="1"/>
    <col min="2" max="2" width="49.375" style="171" customWidth="1"/>
    <col min="3" max="3" width="11.00390625" style="171" customWidth="1"/>
    <col min="4" max="4" width="12.625" style="172" customWidth="1"/>
    <col min="5" max="5" width="14.25390625" style="171" bestFit="1" customWidth="1"/>
    <col min="6" max="6" width="14.25390625" style="171" customWidth="1"/>
    <col min="7" max="7" width="11.625" style="171" customWidth="1"/>
    <col min="8" max="8" width="13.875" style="171" customWidth="1"/>
    <col min="9" max="9" width="12.625" style="171" customWidth="1"/>
    <col min="10" max="10" width="11.375" style="171" hidden="1" customWidth="1"/>
    <col min="11" max="11" width="13.125" style="171" customWidth="1"/>
    <col min="12" max="12" width="13.75390625" style="171" customWidth="1"/>
    <col min="13" max="13" width="4.125" style="171" customWidth="1"/>
    <col min="14" max="16384" width="6.75390625" style="171" customWidth="1"/>
  </cols>
  <sheetData>
    <row r="1" spans="1:13" s="163" customFormat="1" ht="21" customHeight="1">
      <c r="A1" s="718" t="s">
        <v>613</v>
      </c>
      <c r="B1" s="718"/>
      <c r="C1" s="718"/>
      <c r="D1" s="718"/>
      <c r="E1" s="718"/>
      <c r="F1" s="718"/>
      <c r="G1" s="718"/>
      <c r="H1" s="718"/>
      <c r="I1" s="718"/>
      <c r="J1" s="718"/>
      <c r="K1" s="718"/>
      <c r="L1" s="718"/>
      <c r="M1" s="173"/>
    </row>
    <row r="2" spans="2:13" s="164" customFormat="1" ht="12" customHeight="1" thickBot="1">
      <c r="B2" s="168"/>
      <c r="D2" s="168"/>
      <c r="L2" s="9" t="s">
        <v>97</v>
      </c>
      <c r="M2" s="165"/>
    </row>
    <row r="3" spans="1:13" s="166" customFormat="1" ht="14.25" customHeight="1">
      <c r="A3" s="648" t="s">
        <v>112</v>
      </c>
      <c r="B3" s="643" t="s">
        <v>148</v>
      </c>
      <c r="C3" s="643" t="s">
        <v>439</v>
      </c>
      <c r="D3" s="703" t="s">
        <v>471</v>
      </c>
      <c r="E3" s="643" t="s">
        <v>507</v>
      </c>
      <c r="F3" s="707" t="s">
        <v>440</v>
      </c>
      <c r="G3" s="708"/>
      <c r="H3" s="708"/>
      <c r="I3" s="709"/>
      <c r="J3" s="260"/>
      <c r="K3" s="260"/>
      <c r="L3" s="691" t="s">
        <v>146</v>
      </c>
      <c r="M3" s="165"/>
    </row>
    <row r="4" spans="1:13" s="166" customFormat="1" ht="14.25" customHeight="1">
      <c r="A4" s="642"/>
      <c r="B4" s="644"/>
      <c r="C4" s="644"/>
      <c r="D4" s="704"/>
      <c r="E4" s="644"/>
      <c r="F4" s="705" t="s">
        <v>453</v>
      </c>
      <c r="G4" s="705" t="s">
        <v>441</v>
      </c>
      <c r="H4" s="705"/>
      <c r="I4" s="705"/>
      <c r="J4" s="269"/>
      <c r="K4" s="269"/>
      <c r="L4" s="692"/>
      <c r="M4" s="165"/>
    </row>
    <row r="5" spans="1:13" s="166" customFormat="1" ht="14.25" customHeight="1">
      <c r="A5" s="642"/>
      <c r="B5" s="644"/>
      <c r="C5" s="644"/>
      <c r="D5" s="704"/>
      <c r="E5" s="644"/>
      <c r="F5" s="706"/>
      <c r="G5" s="645" t="s">
        <v>147</v>
      </c>
      <c r="H5" s="645" t="s">
        <v>137</v>
      </c>
      <c r="I5" s="645" t="s">
        <v>454</v>
      </c>
      <c r="J5" s="258" t="s">
        <v>508</v>
      </c>
      <c r="K5" s="645" t="s">
        <v>566</v>
      </c>
      <c r="L5" s="692"/>
      <c r="M5" s="165"/>
    </row>
    <row r="6" spans="1:13" s="166" customFormat="1" ht="14.25" customHeight="1">
      <c r="A6" s="642"/>
      <c r="B6" s="644"/>
      <c r="C6" s="644"/>
      <c r="D6" s="704"/>
      <c r="E6" s="644"/>
      <c r="F6" s="706"/>
      <c r="G6" s="685"/>
      <c r="H6" s="685"/>
      <c r="I6" s="685"/>
      <c r="J6" s="259"/>
      <c r="K6" s="685"/>
      <c r="L6" s="692"/>
      <c r="M6" s="165"/>
    </row>
    <row r="7" spans="1:13" s="166" customFormat="1" ht="15" customHeight="1">
      <c r="A7" s="642"/>
      <c r="B7" s="644"/>
      <c r="C7" s="644"/>
      <c r="D7" s="704"/>
      <c r="E7" s="644"/>
      <c r="F7" s="706"/>
      <c r="G7" s="685"/>
      <c r="H7" s="685"/>
      <c r="I7" s="685"/>
      <c r="J7" s="259"/>
      <c r="K7" s="710"/>
      <c r="L7" s="693"/>
      <c r="M7" s="165"/>
    </row>
    <row r="8" spans="1:13" s="205" customFormat="1" ht="10.5" customHeight="1" thickBot="1">
      <c r="A8" s="309">
        <v>1</v>
      </c>
      <c r="B8" s="310">
        <v>2</v>
      </c>
      <c r="C8" s="310">
        <v>3</v>
      </c>
      <c r="D8" s="311">
        <v>4</v>
      </c>
      <c r="E8" s="310">
        <v>5</v>
      </c>
      <c r="F8" s="310">
        <v>6</v>
      </c>
      <c r="G8" s="312">
        <v>7</v>
      </c>
      <c r="H8" s="312">
        <v>8</v>
      </c>
      <c r="I8" s="312">
        <v>9</v>
      </c>
      <c r="J8" s="312">
        <v>10</v>
      </c>
      <c r="K8" s="312">
        <v>10</v>
      </c>
      <c r="L8" s="316">
        <v>11</v>
      </c>
      <c r="M8" s="204"/>
    </row>
    <row r="9" spans="1:13" s="177" customFormat="1" ht="18" customHeight="1">
      <c r="A9" s="652" t="s">
        <v>442</v>
      </c>
      <c r="B9" s="649"/>
      <c r="C9" s="649"/>
      <c r="D9" s="174">
        <f>D10+D17</f>
        <v>12144900</v>
      </c>
      <c r="E9" s="174">
        <f>SUM(F9:K9)</f>
        <v>5977500</v>
      </c>
      <c r="F9" s="174">
        <f aca="true" t="shared" si="0" ref="F9:K9">F10+F17</f>
        <v>4335000</v>
      </c>
      <c r="G9" s="174">
        <f t="shared" si="0"/>
        <v>267500</v>
      </c>
      <c r="H9" s="174">
        <f t="shared" si="0"/>
        <v>785000</v>
      </c>
      <c r="I9" s="174">
        <f t="shared" si="0"/>
        <v>590000</v>
      </c>
      <c r="J9" s="174">
        <f t="shared" si="0"/>
        <v>0</v>
      </c>
      <c r="K9" s="174">
        <f t="shared" si="0"/>
        <v>0</v>
      </c>
      <c r="L9" s="276"/>
      <c r="M9" s="176"/>
    </row>
    <row r="10" spans="1:13" s="177" customFormat="1" ht="17.25" customHeight="1">
      <c r="A10" s="646" t="s">
        <v>443</v>
      </c>
      <c r="B10" s="647"/>
      <c r="C10" s="647"/>
      <c r="D10" s="192">
        <f aca="true" t="shared" si="1" ref="D10:K10">SUM(D11:D16)</f>
        <v>11794900</v>
      </c>
      <c r="E10" s="192">
        <f t="shared" si="1"/>
        <v>5777500</v>
      </c>
      <c r="F10" s="192">
        <f t="shared" si="1"/>
        <v>4335000</v>
      </c>
      <c r="G10" s="192">
        <f t="shared" si="1"/>
        <v>257500</v>
      </c>
      <c r="H10" s="192">
        <f t="shared" si="1"/>
        <v>785000</v>
      </c>
      <c r="I10" s="192">
        <f t="shared" si="1"/>
        <v>400000</v>
      </c>
      <c r="J10" s="192">
        <f t="shared" si="1"/>
        <v>0</v>
      </c>
      <c r="K10" s="192">
        <f t="shared" si="1"/>
        <v>0</v>
      </c>
      <c r="L10" s="277"/>
      <c r="M10" s="176"/>
    </row>
    <row r="11" spans="1:13" s="177" customFormat="1" ht="30" customHeight="1">
      <c r="A11" s="188" t="s">
        <v>69</v>
      </c>
      <c r="B11" s="271" t="s">
        <v>510</v>
      </c>
      <c r="C11" s="191" t="s">
        <v>456</v>
      </c>
      <c r="D11" s="190">
        <f>40000+E11</f>
        <v>5040000</v>
      </c>
      <c r="E11" s="190">
        <f aca="true" t="shared" si="2" ref="E11:E18">SUM(F11,G11,H11,I11,K11)</f>
        <v>5000000</v>
      </c>
      <c r="F11" s="190">
        <v>4250000</v>
      </c>
      <c r="G11" s="190">
        <v>225000</v>
      </c>
      <c r="H11" s="190">
        <v>275000</v>
      </c>
      <c r="I11" s="190">
        <v>250000</v>
      </c>
      <c r="J11" s="190"/>
      <c r="K11" s="315" t="s">
        <v>600</v>
      </c>
      <c r="L11" s="687" t="s">
        <v>511</v>
      </c>
      <c r="M11" s="176"/>
    </row>
    <row r="12" spans="1:13" s="177" customFormat="1" ht="25.5">
      <c r="A12" s="188" t="s">
        <v>70</v>
      </c>
      <c r="B12" s="271" t="s">
        <v>512</v>
      </c>
      <c r="C12" s="191" t="s">
        <v>517</v>
      </c>
      <c r="D12" s="190">
        <f>7000+5000000+E12</f>
        <v>5107000</v>
      </c>
      <c r="E12" s="190">
        <f t="shared" si="2"/>
        <v>100000</v>
      </c>
      <c r="F12" s="190">
        <v>85000</v>
      </c>
      <c r="G12" s="190">
        <v>15000</v>
      </c>
      <c r="H12" s="190"/>
      <c r="I12" s="190"/>
      <c r="J12" s="190"/>
      <c r="K12" s="190"/>
      <c r="L12" s="688"/>
      <c r="M12" s="176"/>
    </row>
    <row r="13" spans="1:13" s="177" customFormat="1" ht="27.75" customHeight="1">
      <c r="A13" s="188" t="s">
        <v>71</v>
      </c>
      <c r="B13" s="393" t="s">
        <v>604</v>
      </c>
      <c r="C13" s="191" t="s">
        <v>456</v>
      </c>
      <c r="D13" s="272">
        <f>22000+E13</f>
        <v>222000</v>
      </c>
      <c r="E13" s="190">
        <f t="shared" si="2"/>
        <v>200000</v>
      </c>
      <c r="F13" s="190"/>
      <c r="G13" s="272"/>
      <c r="H13" s="272">
        <v>50000</v>
      </c>
      <c r="I13" s="190">
        <v>150000</v>
      </c>
      <c r="J13" s="190"/>
      <c r="K13" s="315" t="s">
        <v>600</v>
      </c>
      <c r="L13" s="688"/>
      <c r="M13" s="176"/>
    </row>
    <row r="14" spans="1:13" s="177" customFormat="1" ht="22.5" customHeight="1">
      <c r="A14" s="188" t="s">
        <v>58</v>
      </c>
      <c r="B14" s="271" t="s">
        <v>574</v>
      </c>
      <c r="C14" s="191" t="s">
        <v>456</v>
      </c>
      <c r="D14" s="272">
        <v>14000</v>
      </c>
      <c r="E14" s="190">
        <f t="shared" si="2"/>
        <v>10000</v>
      </c>
      <c r="F14" s="190"/>
      <c r="G14" s="272">
        <v>10000</v>
      </c>
      <c r="H14" s="272"/>
      <c r="I14" s="190"/>
      <c r="J14" s="190"/>
      <c r="K14" s="190"/>
      <c r="L14" s="688"/>
      <c r="M14" s="176"/>
    </row>
    <row r="15" spans="1:13" s="177" customFormat="1" ht="24.75" customHeight="1">
      <c r="A15" s="188" t="s">
        <v>75</v>
      </c>
      <c r="B15" s="271" t="s">
        <v>605</v>
      </c>
      <c r="C15" s="191" t="s">
        <v>517</v>
      </c>
      <c r="D15" s="272">
        <f>E15+90000+46000+46000+4000</f>
        <v>526000</v>
      </c>
      <c r="E15" s="190">
        <f t="shared" si="2"/>
        <v>340000</v>
      </c>
      <c r="F15" s="190"/>
      <c r="G15" s="272"/>
      <c r="H15" s="272">
        <v>340000</v>
      </c>
      <c r="I15" s="190"/>
      <c r="J15" s="190"/>
      <c r="K15" s="315" t="s">
        <v>567</v>
      </c>
      <c r="L15" s="688"/>
      <c r="M15" s="176"/>
    </row>
    <row r="16" spans="1:13" s="177" customFormat="1" ht="38.25">
      <c r="A16" s="188" t="s">
        <v>78</v>
      </c>
      <c r="B16" s="271" t="s">
        <v>513</v>
      </c>
      <c r="C16" s="191" t="s">
        <v>456</v>
      </c>
      <c r="D16" s="272">
        <f>E16+758400</f>
        <v>885900</v>
      </c>
      <c r="E16" s="190">
        <f t="shared" si="2"/>
        <v>127500</v>
      </c>
      <c r="F16" s="190"/>
      <c r="G16" s="190">
        <v>7500</v>
      </c>
      <c r="H16" s="190">
        <v>120000</v>
      </c>
      <c r="I16" s="190"/>
      <c r="J16" s="190"/>
      <c r="K16" s="190"/>
      <c r="L16" s="689"/>
      <c r="M16" s="176"/>
    </row>
    <row r="17" spans="1:13" s="177" customFormat="1" ht="18.75" customHeight="1">
      <c r="A17" s="700" t="s">
        <v>515</v>
      </c>
      <c r="B17" s="701"/>
      <c r="C17" s="702"/>
      <c r="D17" s="273">
        <f aca="true" t="shared" si="3" ref="D17:I17">D18</f>
        <v>350000</v>
      </c>
      <c r="E17" s="273">
        <f t="shared" si="3"/>
        <v>200000</v>
      </c>
      <c r="F17" s="273">
        <f t="shared" si="3"/>
        <v>0</v>
      </c>
      <c r="G17" s="273">
        <f t="shared" si="3"/>
        <v>10000</v>
      </c>
      <c r="H17" s="273">
        <f t="shared" si="3"/>
        <v>0</v>
      </c>
      <c r="I17" s="273">
        <f t="shared" si="3"/>
        <v>190000</v>
      </c>
      <c r="J17" s="273"/>
      <c r="K17" s="273">
        <f>K18</f>
        <v>0</v>
      </c>
      <c r="L17" s="687" t="s">
        <v>457</v>
      </c>
      <c r="M17" s="176"/>
    </row>
    <row r="18" spans="1:13" s="177" customFormat="1" ht="21" customHeight="1" thickBot="1">
      <c r="A18" s="188" t="s">
        <v>80</v>
      </c>
      <c r="B18" s="189" t="s">
        <v>563</v>
      </c>
      <c r="C18" s="308" t="s">
        <v>562</v>
      </c>
      <c r="D18" s="190">
        <f>E18+150000</f>
        <v>350000</v>
      </c>
      <c r="E18" s="190">
        <f t="shared" si="2"/>
        <v>200000</v>
      </c>
      <c r="F18" s="192"/>
      <c r="G18" s="285">
        <v>10000</v>
      </c>
      <c r="H18" s="190"/>
      <c r="I18" s="190">
        <v>190000</v>
      </c>
      <c r="J18" s="190"/>
      <c r="K18" s="192"/>
      <c r="L18" s="688"/>
      <c r="M18" s="176"/>
    </row>
    <row r="19" spans="1:13" s="177" customFormat="1" ht="16.5" customHeight="1">
      <c r="A19" s="698" t="s">
        <v>444</v>
      </c>
      <c r="B19" s="699"/>
      <c r="C19" s="699"/>
      <c r="D19" s="274">
        <f>D20</f>
        <v>2110500</v>
      </c>
      <c r="E19" s="274">
        <f>SUM(F19:K19)</f>
        <v>692000</v>
      </c>
      <c r="F19" s="274">
        <f aca="true" t="shared" si="4" ref="F19:K19">F20</f>
        <v>5000</v>
      </c>
      <c r="G19" s="274">
        <f t="shared" si="4"/>
        <v>179000</v>
      </c>
      <c r="H19" s="274">
        <f t="shared" si="4"/>
        <v>190000</v>
      </c>
      <c r="I19" s="274">
        <f t="shared" si="4"/>
        <v>318000</v>
      </c>
      <c r="J19" s="274">
        <f t="shared" si="4"/>
        <v>0</v>
      </c>
      <c r="K19" s="274">
        <f t="shared" si="4"/>
        <v>0</v>
      </c>
      <c r="L19" s="276"/>
      <c r="M19" s="176"/>
    </row>
    <row r="20" spans="1:13" s="177" customFormat="1" ht="16.5" customHeight="1">
      <c r="A20" s="646" t="s">
        <v>458</v>
      </c>
      <c r="B20" s="647"/>
      <c r="C20" s="647"/>
      <c r="D20" s="192">
        <f>SUM(D21:D26)</f>
        <v>2110500</v>
      </c>
      <c r="E20" s="192">
        <f>SUM(E21:E26)</f>
        <v>692000</v>
      </c>
      <c r="F20" s="192">
        <f aca="true" t="shared" si="5" ref="F20:K20">SUM(F21:F26)</f>
        <v>5000</v>
      </c>
      <c r="G20" s="192">
        <f t="shared" si="5"/>
        <v>179000</v>
      </c>
      <c r="H20" s="192">
        <f t="shared" si="5"/>
        <v>190000</v>
      </c>
      <c r="I20" s="192">
        <f t="shared" si="5"/>
        <v>318000</v>
      </c>
      <c r="J20" s="192">
        <f t="shared" si="5"/>
        <v>0</v>
      </c>
      <c r="K20" s="192">
        <f t="shared" si="5"/>
        <v>0</v>
      </c>
      <c r="L20" s="277"/>
      <c r="M20" s="176"/>
    </row>
    <row r="21" spans="1:13" s="177" customFormat="1" ht="25.5">
      <c r="A21" s="188" t="s">
        <v>86</v>
      </c>
      <c r="B21" s="189" t="s">
        <v>558</v>
      </c>
      <c r="C21" s="191" t="s">
        <v>559</v>
      </c>
      <c r="D21" s="190">
        <f>87000*2+89000+E21</f>
        <v>350000</v>
      </c>
      <c r="E21" s="190">
        <f>SUM(F21,G21,H21,I21,L19)</f>
        <v>87000</v>
      </c>
      <c r="F21" s="190"/>
      <c r="G21" s="190">
        <v>4000</v>
      </c>
      <c r="H21" s="190"/>
      <c r="I21" s="190">
        <v>83000</v>
      </c>
      <c r="J21" s="190"/>
      <c r="K21" s="190"/>
      <c r="L21" s="687" t="s">
        <v>511</v>
      </c>
      <c r="M21" s="176"/>
    </row>
    <row r="22" spans="1:13" s="177" customFormat="1" ht="20.25" customHeight="1">
      <c r="A22" s="188" t="s">
        <v>452</v>
      </c>
      <c r="B22" s="189" t="s">
        <v>672</v>
      </c>
      <c r="C22" s="191">
        <v>2008</v>
      </c>
      <c r="D22" s="190">
        <f>E22</f>
        <v>55000</v>
      </c>
      <c r="E22" s="190">
        <f>SUM(F22,G22,H22,I22,L20)</f>
        <v>55000</v>
      </c>
      <c r="F22" s="190"/>
      <c r="G22" s="190">
        <v>55000</v>
      </c>
      <c r="H22" s="190"/>
      <c r="I22" s="190"/>
      <c r="J22" s="190"/>
      <c r="K22" s="190"/>
      <c r="L22" s="688"/>
      <c r="M22" s="176"/>
    </row>
    <row r="23" spans="1:13" s="177" customFormat="1" ht="22.5" customHeight="1">
      <c r="A23" s="188" t="s">
        <v>464</v>
      </c>
      <c r="B23" s="189" t="s">
        <v>560</v>
      </c>
      <c r="C23" s="191" t="s">
        <v>599</v>
      </c>
      <c r="D23" s="272">
        <f>400000+E23</f>
        <v>600000</v>
      </c>
      <c r="E23" s="190">
        <f>SUM(F23,G23,H23,I23,L20)</f>
        <v>200000</v>
      </c>
      <c r="F23" s="190"/>
      <c r="G23" s="190">
        <v>10000</v>
      </c>
      <c r="H23" s="190">
        <v>190000</v>
      </c>
      <c r="I23" s="190"/>
      <c r="J23" s="190"/>
      <c r="K23" s="190"/>
      <c r="L23" s="688"/>
      <c r="M23" s="176"/>
    </row>
    <row r="24" spans="1:13" s="177" customFormat="1" ht="25.5">
      <c r="A24" s="188" t="s">
        <v>595</v>
      </c>
      <c r="B24" s="189" t="s">
        <v>561</v>
      </c>
      <c r="C24" s="191" t="s">
        <v>562</v>
      </c>
      <c r="D24" s="272">
        <f>600000+E24</f>
        <v>610000</v>
      </c>
      <c r="E24" s="190">
        <f>SUM(F24,G24,H24,I24,L23)</f>
        <v>10000</v>
      </c>
      <c r="F24" s="190">
        <v>5000</v>
      </c>
      <c r="G24" s="190">
        <v>5000</v>
      </c>
      <c r="H24" s="190"/>
      <c r="I24" s="190"/>
      <c r="J24" s="190"/>
      <c r="K24" s="190"/>
      <c r="L24" s="688"/>
      <c r="M24" s="176"/>
    </row>
    <row r="25" spans="1:13" s="177" customFormat="1" ht="17.25" customHeight="1">
      <c r="A25" s="188" t="s">
        <v>596</v>
      </c>
      <c r="B25" s="313" t="s">
        <v>602</v>
      </c>
      <c r="C25" s="191">
        <v>2008</v>
      </c>
      <c r="D25" s="314">
        <f>E25</f>
        <v>250000</v>
      </c>
      <c r="E25" s="190">
        <f>SUM(F25,G25,H25,I25,L24)</f>
        <v>250000</v>
      </c>
      <c r="F25" s="190"/>
      <c r="G25" s="285">
        <v>25000</v>
      </c>
      <c r="H25" s="190"/>
      <c r="I25" s="190">
        <v>225000</v>
      </c>
      <c r="J25" s="285"/>
      <c r="K25" s="315"/>
      <c r="L25" s="688"/>
      <c r="M25" s="176"/>
    </row>
    <row r="26" spans="1:13" s="177" customFormat="1" ht="15" thickBot="1">
      <c r="A26" s="278" t="s">
        <v>597</v>
      </c>
      <c r="B26" s="279" t="s">
        <v>445</v>
      </c>
      <c r="C26" s="280" t="s">
        <v>517</v>
      </c>
      <c r="D26" s="281">
        <v>245500</v>
      </c>
      <c r="E26" s="180">
        <f>SUM(F26,G26,H26,I26,L26)</f>
        <v>90000</v>
      </c>
      <c r="F26" s="180"/>
      <c r="G26" s="181">
        <v>80000</v>
      </c>
      <c r="H26" s="180"/>
      <c r="I26" s="180">
        <v>10000</v>
      </c>
      <c r="J26" s="181"/>
      <c r="K26" s="315"/>
      <c r="L26" s="690"/>
      <c r="M26" s="176"/>
    </row>
    <row r="27" spans="1:13" s="177" customFormat="1" ht="17.25" customHeight="1">
      <c r="A27" s="695" t="s">
        <v>462</v>
      </c>
      <c r="B27" s="696"/>
      <c r="C27" s="697"/>
      <c r="D27" s="174">
        <f aca="true" t="shared" si="6" ref="D27:K27">D28</f>
        <v>512000</v>
      </c>
      <c r="E27" s="174">
        <f t="shared" si="6"/>
        <v>237000</v>
      </c>
      <c r="F27" s="174">
        <f t="shared" si="6"/>
        <v>0</v>
      </c>
      <c r="G27" s="175">
        <f t="shared" si="6"/>
        <v>12000</v>
      </c>
      <c r="H27" s="174">
        <f t="shared" si="6"/>
        <v>225000</v>
      </c>
      <c r="I27" s="174">
        <f t="shared" si="6"/>
        <v>0</v>
      </c>
      <c r="J27" s="174">
        <f t="shared" si="6"/>
        <v>0</v>
      </c>
      <c r="K27" s="174">
        <f t="shared" si="6"/>
        <v>0</v>
      </c>
      <c r="L27" s="282"/>
      <c r="M27" s="176"/>
    </row>
    <row r="28" spans="1:13" s="177" customFormat="1" ht="15.75" customHeight="1">
      <c r="A28" s="700" t="s">
        <v>463</v>
      </c>
      <c r="B28" s="701"/>
      <c r="C28" s="702"/>
      <c r="D28" s="187">
        <f>SUM(D29:D30)</f>
        <v>512000</v>
      </c>
      <c r="E28" s="187">
        <f aca="true" t="shared" si="7" ref="E28:K28">SUM(E29:E30)</f>
        <v>237000</v>
      </c>
      <c r="F28" s="187">
        <f t="shared" si="7"/>
        <v>0</v>
      </c>
      <c r="G28" s="187">
        <f t="shared" si="7"/>
        <v>12000</v>
      </c>
      <c r="H28" s="187">
        <f t="shared" si="7"/>
        <v>225000</v>
      </c>
      <c r="I28" s="187">
        <f t="shared" si="7"/>
        <v>0</v>
      </c>
      <c r="J28" s="187">
        <f t="shared" si="7"/>
        <v>0</v>
      </c>
      <c r="K28" s="187">
        <f t="shared" si="7"/>
        <v>0</v>
      </c>
      <c r="L28" s="283"/>
      <c r="M28" s="176"/>
    </row>
    <row r="29" spans="1:13" s="177" customFormat="1" ht="25.5">
      <c r="A29" s="188" t="s">
        <v>598</v>
      </c>
      <c r="B29" s="271" t="s">
        <v>592</v>
      </c>
      <c r="C29" s="284" t="s">
        <v>517</v>
      </c>
      <c r="D29" s="190">
        <f>E29+25000+250000</f>
        <v>500000</v>
      </c>
      <c r="E29" s="190">
        <f>SUM(F29,G29,H29,I29,L27)</f>
        <v>225000</v>
      </c>
      <c r="F29" s="190"/>
      <c r="G29" s="285"/>
      <c r="H29" s="190">
        <v>225000</v>
      </c>
      <c r="I29" s="190"/>
      <c r="J29" s="285"/>
      <c r="K29" s="190"/>
      <c r="L29" s="686" t="s">
        <v>457</v>
      </c>
      <c r="M29" s="176"/>
    </row>
    <row r="30" spans="1:13" s="177" customFormat="1" ht="24.75" customHeight="1">
      <c r="A30" s="188" t="s">
        <v>516</v>
      </c>
      <c r="B30" s="271" t="s">
        <v>572</v>
      </c>
      <c r="C30" s="284">
        <v>2008</v>
      </c>
      <c r="D30" s="190">
        <f>E30</f>
        <v>12000</v>
      </c>
      <c r="E30" s="190">
        <f>SUM(F30,G30,H30,I30,L28)</f>
        <v>12000</v>
      </c>
      <c r="F30" s="190"/>
      <c r="G30" s="285">
        <v>12000</v>
      </c>
      <c r="H30" s="190"/>
      <c r="I30" s="190"/>
      <c r="J30" s="285"/>
      <c r="K30" s="190"/>
      <c r="L30" s="694"/>
      <c r="M30" s="176"/>
    </row>
    <row r="31" spans="1:13" s="177" customFormat="1" ht="15.75" customHeight="1" thickBot="1">
      <c r="A31" s="321"/>
      <c r="B31" s="198"/>
      <c r="C31" s="202"/>
      <c r="D31" s="203"/>
      <c r="E31" s="203"/>
      <c r="F31" s="203"/>
      <c r="G31" s="203"/>
      <c r="H31" s="203"/>
      <c r="I31" s="203"/>
      <c r="J31" s="203"/>
      <c r="K31" s="203"/>
      <c r="L31" s="322"/>
      <c r="M31" s="176"/>
    </row>
    <row r="32" spans="1:13" s="166" customFormat="1" ht="14.25" customHeight="1">
      <c r="A32" s="648" t="s">
        <v>112</v>
      </c>
      <c r="B32" s="643" t="s">
        <v>148</v>
      </c>
      <c r="C32" s="643" t="s">
        <v>439</v>
      </c>
      <c r="D32" s="703" t="s">
        <v>471</v>
      </c>
      <c r="E32" s="643" t="s">
        <v>507</v>
      </c>
      <c r="F32" s="707" t="s">
        <v>440</v>
      </c>
      <c r="G32" s="708"/>
      <c r="H32" s="708"/>
      <c r="I32" s="709"/>
      <c r="J32" s="260"/>
      <c r="K32" s="260"/>
      <c r="L32" s="691" t="s">
        <v>146</v>
      </c>
      <c r="M32" s="165"/>
    </row>
    <row r="33" spans="1:13" s="166" customFormat="1" ht="14.25" customHeight="1">
      <c r="A33" s="642"/>
      <c r="B33" s="644"/>
      <c r="C33" s="644"/>
      <c r="D33" s="704"/>
      <c r="E33" s="644"/>
      <c r="F33" s="705" t="s">
        <v>453</v>
      </c>
      <c r="G33" s="705" t="s">
        <v>441</v>
      </c>
      <c r="H33" s="705"/>
      <c r="I33" s="705"/>
      <c r="J33" s="269"/>
      <c r="K33" s="269"/>
      <c r="L33" s="692"/>
      <c r="M33" s="165"/>
    </row>
    <row r="34" spans="1:13" s="166" customFormat="1" ht="14.25" customHeight="1">
      <c r="A34" s="642"/>
      <c r="B34" s="644"/>
      <c r="C34" s="644"/>
      <c r="D34" s="704"/>
      <c r="E34" s="644"/>
      <c r="F34" s="706"/>
      <c r="G34" s="645" t="s">
        <v>147</v>
      </c>
      <c r="H34" s="645" t="s">
        <v>137</v>
      </c>
      <c r="I34" s="645" t="s">
        <v>454</v>
      </c>
      <c r="J34" s="258" t="s">
        <v>508</v>
      </c>
      <c r="K34" s="645" t="s">
        <v>566</v>
      </c>
      <c r="L34" s="692"/>
      <c r="M34" s="165"/>
    </row>
    <row r="35" spans="1:13" s="166" customFormat="1" ht="14.25" customHeight="1">
      <c r="A35" s="642"/>
      <c r="B35" s="644"/>
      <c r="C35" s="644"/>
      <c r="D35" s="704"/>
      <c r="E35" s="644"/>
      <c r="F35" s="706"/>
      <c r="G35" s="685"/>
      <c r="H35" s="685"/>
      <c r="I35" s="685"/>
      <c r="J35" s="259"/>
      <c r="K35" s="685"/>
      <c r="L35" s="692"/>
      <c r="M35" s="165"/>
    </row>
    <row r="36" spans="1:13" s="166" customFormat="1" ht="15" customHeight="1" thickBot="1">
      <c r="A36" s="642"/>
      <c r="B36" s="644"/>
      <c r="C36" s="644"/>
      <c r="D36" s="704"/>
      <c r="E36" s="644"/>
      <c r="F36" s="706"/>
      <c r="G36" s="685"/>
      <c r="H36" s="685"/>
      <c r="I36" s="685"/>
      <c r="J36" s="259"/>
      <c r="K36" s="710"/>
      <c r="L36" s="693"/>
      <c r="M36" s="165"/>
    </row>
    <row r="37" spans="1:13" s="205" customFormat="1" ht="10.5" customHeight="1" thickBot="1">
      <c r="A37" s="206">
        <v>1</v>
      </c>
      <c r="B37" s="207">
        <v>2</v>
      </c>
      <c r="C37" s="207">
        <v>3</v>
      </c>
      <c r="D37" s="208">
        <v>4</v>
      </c>
      <c r="E37" s="207">
        <v>5</v>
      </c>
      <c r="F37" s="207">
        <v>6</v>
      </c>
      <c r="G37" s="209">
        <v>7</v>
      </c>
      <c r="H37" s="209">
        <v>8</v>
      </c>
      <c r="I37" s="209">
        <v>9</v>
      </c>
      <c r="J37" s="209">
        <v>10</v>
      </c>
      <c r="K37" s="209">
        <v>10</v>
      </c>
      <c r="L37" s="318">
        <v>11</v>
      </c>
      <c r="M37" s="204"/>
    </row>
    <row r="38" spans="1:13" s="177" customFormat="1" ht="26.25" hidden="1" thickBot="1">
      <c r="A38" s="278" t="s">
        <v>518</v>
      </c>
      <c r="B38" s="286" t="s">
        <v>519</v>
      </c>
      <c r="C38" s="287">
        <v>2007</v>
      </c>
      <c r="D38" s="180">
        <f>E38</f>
        <v>0</v>
      </c>
      <c r="E38" s="180">
        <f>SUM(F38,G38,H38,I38,L27)</f>
        <v>0</v>
      </c>
      <c r="F38" s="180"/>
      <c r="G38" s="181"/>
      <c r="H38" s="180"/>
      <c r="I38" s="180"/>
      <c r="J38" s="181"/>
      <c r="K38" s="181"/>
      <c r="L38" s="288" t="s">
        <v>514</v>
      </c>
      <c r="M38" s="176"/>
    </row>
    <row r="39" spans="1:13" s="177" customFormat="1" ht="18.75" customHeight="1" hidden="1">
      <c r="A39" s="695" t="s">
        <v>446</v>
      </c>
      <c r="B39" s="696"/>
      <c r="C39" s="697"/>
      <c r="D39" s="174">
        <f aca="true" t="shared" si="8" ref="D39:I39">D40</f>
        <v>0</v>
      </c>
      <c r="E39" s="174">
        <f t="shared" si="8"/>
        <v>0</v>
      </c>
      <c r="F39" s="174">
        <f t="shared" si="8"/>
        <v>0</v>
      </c>
      <c r="G39" s="175">
        <f t="shared" si="8"/>
        <v>0</v>
      </c>
      <c r="H39" s="174">
        <f t="shared" si="8"/>
        <v>0</v>
      </c>
      <c r="I39" s="174">
        <f t="shared" si="8"/>
        <v>0</v>
      </c>
      <c r="J39" s="275"/>
      <c r="K39" s="275"/>
      <c r="L39" s="282"/>
      <c r="M39" s="176"/>
    </row>
    <row r="40" spans="1:13" s="177" customFormat="1" ht="22.5" customHeight="1" hidden="1">
      <c r="A40" s="700" t="s">
        <v>447</v>
      </c>
      <c r="B40" s="701"/>
      <c r="C40" s="702"/>
      <c r="D40" s="192">
        <f aca="true" t="shared" si="9" ref="D40:I40">SUM(D41:D42)</f>
        <v>0</v>
      </c>
      <c r="E40" s="192">
        <f t="shared" si="9"/>
        <v>0</v>
      </c>
      <c r="F40" s="192">
        <f t="shared" si="9"/>
        <v>0</v>
      </c>
      <c r="G40" s="192">
        <f t="shared" si="9"/>
        <v>0</v>
      </c>
      <c r="H40" s="192">
        <f t="shared" si="9"/>
        <v>0</v>
      </c>
      <c r="I40" s="192">
        <f t="shared" si="9"/>
        <v>0</v>
      </c>
      <c r="J40" s="192"/>
      <c r="K40" s="192">
        <f>SUM(K41:K42)</f>
        <v>0</v>
      </c>
      <c r="L40" s="283"/>
      <c r="M40" s="176"/>
    </row>
    <row r="41" spans="1:13" s="177" customFormat="1" ht="25.5" hidden="1">
      <c r="A41" s="188" t="s">
        <v>520</v>
      </c>
      <c r="B41" s="271" t="s">
        <v>521</v>
      </c>
      <c r="C41" s="289">
        <v>2007</v>
      </c>
      <c r="D41" s="190">
        <f>E41</f>
        <v>0</v>
      </c>
      <c r="E41" s="190">
        <f>SUM(F41:I41)</f>
        <v>0</v>
      </c>
      <c r="F41" s="190"/>
      <c r="G41" s="190"/>
      <c r="H41" s="190"/>
      <c r="I41" s="190"/>
      <c r="J41" s="190"/>
      <c r="K41" s="190"/>
      <c r="L41" s="686" t="s">
        <v>457</v>
      </c>
      <c r="M41" s="176"/>
    </row>
    <row r="42" spans="1:13" s="177" customFormat="1" ht="39" hidden="1" thickBot="1">
      <c r="A42" s="278" t="s">
        <v>522</v>
      </c>
      <c r="B42" s="286" t="s">
        <v>523</v>
      </c>
      <c r="C42" s="287" t="s">
        <v>455</v>
      </c>
      <c r="D42" s="180"/>
      <c r="E42" s="180">
        <f>SUM(F42,G42,H42,I42,L39)</f>
        <v>0</v>
      </c>
      <c r="F42" s="180"/>
      <c r="G42" s="181"/>
      <c r="H42" s="180"/>
      <c r="I42" s="180"/>
      <c r="J42" s="181"/>
      <c r="K42" s="181"/>
      <c r="L42" s="651"/>
      <c r="M42" s="176"/>
    </row>
    <row r="43" spans="1:13" s="177" customFormat="1" ht="30" customHeight="1">
      <c r="A43" s="695" t="s">
        <v>524</v>
      </c>
      <c r="B43" s="696"/>
      <c r="C43" s="697"/>
      <c r="D43" s="174">
        <f aca="true" t="shared" si="10" ref="D43:I43">D44</f>
        <v>120000</v>
      </c>
      <c r="E43" s="174">
        <f t="shared" si="10"/>
        <v>120000</v>
      </c>
      <c r="F43" s="174">
        <f t="shared" si="10"/>
        <v>0</v>
      </c>
      <c r="G43" s="174">
        <f t="shared" si="10"/>
        <v>0</v>
      </c>
      <c r="H43" s="174">
        <f t="shared" si="10"/>
        <v>120000</v>
      </c>
      <c r="I43" s="174">
        <f t="shared" si="10"/>
        <v>0</v>
      </c>
      <c r="J43" s="275"/>
      <c r="K43" s="275"/>
      <c r="L43" s="282"/>
      <c r="M43" s="176"/>
    </row>
    <row r="44" spans="1:13" s="177" customFormat="1" ht="18.75" customHeight="1">
      <c r="A44" s="646" t="s">
        <v>525</v>
      </c>
      <c r="B44" s="647"/>
      <c r="C44" s="647"/>
      <c r="D44" s="192">
        <f aca="true" t="shared" si="11" ref="D44:I44">SUM(D45:D45)</f>
        <v>120000</v>
      </c>
      <c r="E44" s="192">
        <f t="shared" si="11"/>
        <v>120000</v>
      </c>
      <c r="F44" s="192">
        <f t="shared" si="11"/>
        <v>0</v>
      </c>
      <c r="G44" s="192">
        <f t="shared" si="11"/>
        <v>0</v>
      </c>
      <c r="H44" s="192">
        <f t="shared" si="11"/>
        <v>120000</v>
      </c>
      <c r="I44" s="192">
        <f t="shared" si="11"/>
        <v>0</v>
      </c>
      <c r="J44" s="192"/>
      <c r="K44" s="192"/>
      <c r="L44" s="686" t="s">
        <v>511</v>
      </c>
      <c r="M44" s="176"/>
    </row>
    <row r="45" spans="1:13" s="177" customFormat="1" ht="24" customHeight="1" thickBot="1">
      <c r="A45" s="196" t="s">
        <v>571</v>
      </c>
      <c r="B45" s="193" t="s">
        <v>673</v>
      </c>
      <c r="C45" s="199">
        <v>2008</v>
      </c>
      <c r="D45" s="182">
        <f>E45</f>
        <v>120000</v>
      </c>
      <c r="E45" s="182">
        <f>SUM(F45,G45,H45,I45,L27)</f>
        <v>120000</v>
      </c>
      <c r="F45" s="182"/>
      <c r="G45" s="182"/>
      <c r="H45" s="182">
        <v>120000</v>
      </c>
      <c r="I45" s="182"/>
      <c r="J45" s="181"/>
      <c r="K45" s="181"/>
      <c r="L45" s="651"/>
      <c r="M45" s="176"/>
    </row>
    <row r="46" spans="1:13" s="177" customFormat="1" ht="18.75" customHeight="1" hidden="1">
      <c r="A46" s="695" t="s">
        <v>459</v>
      </c>
      <c r="B46" s="696"/>
      <c r="C46" s="697"/>
      <c r="D46" s="174">
        <f aca="true" t="shared" si="12" ref="D46:K46">D47</f>
        <v>0</v>
      </c>
      <c r="E46" s="174">
        <f t="shared" si="12"/>
        <v>0</v>
      </c>
      <c r="F46" s="174">
        <f t="shared" si="12"/>
        <v>0</v>
      </c>
      <c r="G46" s="174">
        <f t="shared" si="12"/>
        <v>0</v>
      </c>
      <c r="H46" s="174">
        <f t="shared" si="12"/>
        <v>0</v>
      </c>
      <c r="I46" s="174">
        <f t="shared" si="12"/>
        <v>0</v>
      </c>
      <c r="J46" s="174">
        <f t="shared" si="12"/>
        <v>0</v>
      </c>
      <c r="K46" s="174">
        <f t="shared" si="12"/>
        <v>0</v>
      </c>
      <c r="L46" s="659" t="s">
        <v>461</v>
      </c>
      <c r="M46" s="176"/>
    </row>
    <row r="47" spans="1:13" s="177" customFormat="1" ht="18.75" customHeight="1" hidden="1">
      <c r="A47" s="713" t="s">
        <v>460</v>
      </c>
      <c r="B47" s="714"/>
      <c r="C47" s="714"/>
      <c r="D47" s="273">
        <f aca="true" t="shared" si="13" ref="D47:K47">SUM(D48:D48)</f>
        <v>0</v>
      </c>
      <c r="E47" s="273">
        <f t="shared" si="13"/>
        <v>0</v>
      </c>
      <c r="F47" s="273">
        <f t="shared" si="13"/>
        <v>0</v>
      </c>
      <c r="G47" s="273">
        <f t="shared" si="13"/>
        <v>0</v>
      </c>
      <c r="H47" s="273">
        <f t="shared" si="13"/>
        <v>0</v>
      </c>
      <c r="I47" s="273">
        <f t="shared" si="13"/>
        <v>0</v>
      </c>
      <c r="J47" s="273">
        <f t="shared" si="13"/>
        <v>0</v>
      </c>
      <c r="K47" s="273">
        <f t="shared" si="13"/>
        <v>0</v>
      </c>
      <c r="L47" s="650"/>
      <c r="M47" s="176"/>
    </row>
    <row r="48" spans="1:13" s="177" customFormat="1" ht="15.75" customHeight="1" hidden="1" thickBot="1">
      <c r="A48" s="196" t="s">
        <v>527</v>
      </c>
      <c r="B48" s="193" t="s">
        <v>469</v>
      </c>
      <c r="C48" s="199">
        <v>2007</v>
      </c>
      <c r="D48" s="182">
        <f>E48</f>
        <v>0</v>
      </c>
      <c r="E48" s="182">
        <f>SUM(F48,G48,H48,I48,L31)</f>
        <v>0</v>
      </c>
      <c r="F48" s="182"/>
      <c r="G48" s="182"/>
      <c r="H48" s="182"/>
      <c r="I48" s="182"/>
      <c r="J48" s="182"/>
      <c r="K48" s="182"/>
      <c r="L48" s="651"/>
      <c r="M48" s="176"/>
    </row>
    <row r="49" spans="1:13" s="177" customFormat="1" ht="18.75" customHeight="1">
      <c r="A49" s="715" t="s">
        <v>448</v>
      </c>
      <c r="B49" s="716"/>
      <c r="C49" s="717"/>
      <c r="D49" s="194">
        <f aca="true" t="shared" si="14" ref="D49:K49">D50</f>
        <v>2900000</v>
      </c>
      <c r="E49" s="194">
        <f t="shared" si="14"/>
        <v>2808000</v>
      </c>
      <c r="F49" s="194">
        <f t="shared" si="14"/>
        <v>2465000</v>
      </c>
      <c r="G49" s="195">
        <f t="shared" si="14"/>
        <v>3000</v>
      </c>
      <c r="H49" s="194">
        <f t="shared" si="14"/>
        <v>340000</v>
      </c>
      <c r="I49" s="194">
        <f t="shared" si="14"/>
        <v>0</v>
      </c>
      <c r="J49" s="194">
        <f t="shared" si="14"/>
        <v>0</v>
      </c>
      <c r="K49" s="194">
        <f t="shared" si="14"/>
        <v>0</v>
      </c>
      <c r="L49" s="659" t="s">
        <v>457</v>
      </c>
      <c r="M49" s="176"/>
    </row>
    <row r="50" spans="1:13" s="177" customFormat="1" ht="18.75" customHeight="1">
      <c r="A50" s="646" t="s">
        <v>449</v>
      </c>
      <c r="B50" s="647"/>
      <c r="C50" s="647"/>
      <c r="D50" s="192">
        <f aca="true" t="shared" si="15" ref="D50:K50">SUM(D51:D51)</f>
        <v>2900000</v>
      </c>
      <c r="E50" s="192">
        <f t="shared" si="15"/>
        <v>2808000</v>
      </c>
      <c r="F50" s="192">
        <f t="shared" si="15"/>
        <v>2465000</v>
      </c>
      <c r="G50" s="192">
        <f t="shared" si="15"/>
        <v>3000</v>
      </c>
      <c r="H50" s="192">
        <f t="shared" si="15"/>
        <v>340000</v>
      </c>
      <c r="I50" s="192">
        <f t="shared" si="15"/>
        <v>0</v>
      </c>
      <c r="J50" s="192">
        <f t="shared" si="15"/>
        <v>0</v>
      </c>
      <c r="K50" s="192">
        <f t="shared" si="15"/>
        <v>0</v>
      </c>
      <c r="L50" s="719"/>
      <c r="M50" s="176"/>
    </row>
    <row r="51" spans="1:13" s="177" customFormat="1" ht="25.5" customHeight="1" thickBot="1">
      <c r="A51" s="196" t="s">
        <v>518</v>
      </c>
      <c r="B51" s="193" t="s">
        <v>565</v>
      </c>
      <c r="C51" s="197" t="s">
        <v>456</v>
      </c>
      <c r="D51" s="182">
        <f>E51+92000</f>
        <v>2900000</v>
      </c>
      <c r="E51" s="182">
        <f>SUM(F51,G51,H51,I51,L51)</f>
        <v>2808000</v>
      </c>
      <c r="F51" s="182">
        <v>2465000</v>
      </c>
      <c r="G51" s="183">
        <v>3000</v>
      </c>
      <c r="H51" s="182">
        <v>340000</v>
      </c>
      <c r="I51" s="182"/>
      <c r="J51" s="181"/>
      <c r="K51" s="181"/>
      <c r="L51" s="720"/>
      <c r="M51" s="176"/>
    </row>
    <row r="52" spans="1:13" s="177" customFormat="1" ht="18.75" customHeight="1" hidden="1">
      <c r="A52" s="695" t="s">
        <v>465</v>
      </c>
      <c r="B52" s="696"/>
      <c r="C52" s="697"/>
      <c r="D52" s="194">
        <f aca="true" t="shared" si="16" ref="D52:I52">D53</f>
        <v>15000</v>
      </c>
      <c r="E52" s="194">
        <f t="shared" si="16"/>
        <v>0</v>
      </c>
      <c r="F52" s="194">
        <f t="shared" si="16"/>
        <v>0</v>
      </c>
      <c r="G52" s="195">
        <f t="shared" si="16"/>
        <v>0</v>
      </c>
      <c r="H52" s="194">
        <f t="shared" si="16"/>
        <v>0</v>
      </c>
      <c r="I52" s="194">
        <f t="shared" si="16"/>
        <v>0</v>
      </c>
      <c r="J52" s="291"/>
      <c r="K52" s="291"/>
      <c r="L52" s="659" t="s">
        <v>468</v>
      </c>
      <c r="M52" s="176"/>
    </row>
    <row r="53" spans="1:13" s="177" customFormat="1" ht="18.75" customHeight="1" hidden="1">
      <c r="A53" s="646" t="s">
        <v>466</v>
      </c>
      <c r="B53" s="647"/>
      <c r="C53" s="647"/>
      <c r="D53" s="192">
        <f aca="true" t="shared" si="17" ref="D53:I53">SUM(D54:D54)</f>
        <v>15000</v>
      </c>
      <c r="E53" s="192">
        <f t="shared" si="17"/>
        <v>0</v>
      </c>
      <c r="F53" s="192">
        <f t="shared" si="17"/>
        <v>0</v>
      </c>
      <c r="G53" s="192">
        <f t="shared" si="17"/>
        <v>0</v>
      </c>
      <c r="H53" s="192">
        <f t="shared" si="17"/>
        <v>0</v>
      </c>
      <c r="I53" s="192">
        <f t="shared" si="17"/>
        <v>0</v>
      </c>
      <c r="J53" s="192"/>
      <c r="K53" s="192"/>
      <c r="L53" s="650"/>
      <c r="M53" s="176"/>
    </row>
    <row r="54" spans="1:13" s="177" customFormat="1" ht="18.75" customHeight="1" hidden="1" thickBot="1">
      <c r="A54" s="196" t="s">
        <v>528</v>
      </c>
      <c r="B54" s="193" t="s">
        <v>467</v>
      </c>
      <c r="C54" s="199">
        <v>2007</v>
      </c>
      <c r="D54" s="182">
        <v>15000</v>
      </c>
      <c r="E54" s="182">
        <f>SUM(F54,G54,H54,I54,L52)</f>
        <v>0</v>
      </c>
      <c r="F54" s="182"/>
      <c r="G54" s="183"/>
      <c r="H54" s="182"/>
      <c r="I54" s="182"/>
      <c r="J54" s="181"/>
      <c r="K54" s="181"/>
      <c r="L54" s="651"/>
      <c r="M54" s="176"/>
    </row>
    <row r="55" spans="1:13" s="177" customFormat="1" ht="25.5" customHeight="1">
      <c r="A55" s="695" t="s">
        <v>529</v>
      </c>
      <c r="B55" s="696"/>
      <c r="C55" s="697"/>
      <c r="D55" s="174">
        <f aca="true" t="shared" si="18" ref="D55:K55">D58+D56</f>
        <v>500000</v>
      </c>
      <c r="E55" s="174">
        <f t="shared" si="18"/>
        <v>480000</v>
      </c>
      <c r="F55" s="174">
        <f t="shared" si="18"/>
        <v>200000</v>
      </c>
      <c r="G55" s="174">
        <f t="shared" si="18"/>
        <v>180000</v>
      </c>
      <c r="H55" s="174">
        <f t="shared" si="18"/>
        <v>50000</v>
      </c>
      <c r="I55" s="174">
        <f t="shared" si="18"/>
        <v>50000</v>
      </c>
      <c r="J55" s="174">
        <f t="shared" si="18"/>
        <v>0</v>
      </c>
      <c r="K55" s="174">
        <f t="shared" si="18"/>
        <v>0</v>
      </c>
      <c r="L55" s="659" t="s">
        <v>457</v>
      </c>
      <c r="M55" s="176"/>
    </row>
    <row r="56" spans="1:13" s="177" customFormat="1" ht="19.5" customHeight="1" hidden="1">
      <c r="A56" s="646" t="s">
        <v>530</v>
      </c>
      <c r="B56" s="647"/>
      <c r="C56" s="647"/>
      <c r="D56" s="192">
        <f aca="true" t="shared" si="19" ref="D56:K56">D57</f>
        <v>0</v>
      </c>
      <c r="E56" s="192">
        <f t="shared" si="19"/>
        <v>0</v>
      </c>
      <c r="F56" s="192">
        <f t="shared" si="19"/>
        <v>0</v>
      </c>
      <c r="G56" s="192">
        <f t="shared" si="19"/>
        <v>0</v>
      </c>
      <c r="H56" s="192">
        <f t="shared" si="19"/>
        <v>0</v>
      </c>
      <c r="I56" s="192">
        <f t="shared" si="19"/>
        <v>0</v>
      </c>
      <c r="J56" s="192">
        <f t="shared" si="19"/>
        <v>0</v>
      </c>
      <c r="K56" s="192">
        <f t="shared" si="19"/>
        <v>0</v>
      </c>
      <c r="L56" s="650"/>
      <c r="M56" s="176"/>
    </row>
    <row r="57" spans="1:13" s="177" customFormat="1" ht="27.75" customHeight="1" hidden="1">
      <c r="A57" s="292" t="s">
        <v>531</v>
      </c>
      <c r="B57" s="189" t="s">
        <v>532</v>
      </c>
      <c r="C57" s="293">
        <v>2007</v>
      </c>
      <c r="D57" s="190">
        <f>E57</f>
        <v>0</v>
      </c>
      <c r="E57" s="190">
        <f>F57+G57+H57+I57+K57+J57</f>
        <v>0</v>
      </c>
      <c r="F57" s="190"/>
      <c r="G57" s="190"/>
      <c r="H57" s="190"/>
      <c r="I57" s="190"/>
      <c r="J57" s="190"/>
      <c r="K57" s="270"/>
      <c r="L57" s="650"/>
      <c r="M57" s="176"/>
    </row>
    <row r="58" spans="1:13" s="177" customFormat="1" ht="22.5" customHeight="1">
      <c r="A58" s="646" t="s">
        <v>564</v>
      </c>
      <c r="B58" s="647"/>
      <c r="C58" s="647"/>
      <c r="D58" s="192">
        <f aca="true" t="shared" si="20" ref="D58:I58">D59</f>
        <v>500000</v>
      </c>
      <c r="E58" s="192">
        <f t="shared" si="20"/>
        <v>480000</v>
      </c>
      <c r="F58" s="192">
        <f t="shared" si="20"/>
        <v>200000</v>
      </c>
      <c r="G58" s="192">
        <f t="shared" si="20"/>
        <v>180000</v>
      </c>
      <c r="H58" s="192">
        <f t="shared" si="20"/>
        <v>50000</v>
      </c>
      <c r="I58" s="192">
        <f t="shared" si="20"/>
        <v>50000</v>
      </c>
      <c r="J58" s="192"/>
      <c r="K58" s="192"/>
      <c r="L58" s="650"/>
      <c r="M58" s="176"/>
    </row>
    <row r="59" spans="1:13" s="177" customFormat="1" ht="34.5" thickBot="1">
      <c r="A59" s="294" t="s">
        <v>520</v>
      </c>
      <c r="B59" s="271" t="s">
        <v>603</v>
      </c>
      <c r="C59" s="284" t="s">
        <v>456</v>
      </c>
      <c r="D59" s="190">
        <f>E59+20000</f>
        <v>500000</v>
      </c>
      <c r="E59" s="182">
        <f>SUM(F59,G59,H59,I59,L42)</f>
        <v>480000</v>
      </c>
      <c r="F59" s="190">
        <v>200000</v>
      </c>
      <c r="G59" s="285">
        <v>180000</v>
      </c>
      <c r="H59" s="190">
        <v>50000</v>
      </c>
      <c r="I59" s="190">
        <v>50000</v>
      </c>
      <c r="J59" s="180">
        <v>26400</v>
      </c>
      <c r="K59" s="315" t="s">
        <v>600</v>
      </c>
      <c r="L59" s="651"/>
      <c r="M59" s="176"/>
    </row>
    <row r="60" spans="1:14" s="177" customFormat="1" ht="39" customHeight="1" hidden="1" thickBot="1">
      <c r="A60" s="317"/>
      <c r="B60" s="198"/>
      <c r="C60" s="202"/>
      <c r="D60" s="203"/>
      <c r="E60" s="203"/>
      <c r="F60" s="203"/>
      <c r="G60" s="203"/>
      <c r="H60" s="203"/>
      <c r="I60" s="203"/>
      <c r="J60" s="203"/>
      <c r="K60" s="203"/>
      <c r="L60" s="319"/>
      <c r="M60" s="295"/>
      <c r="N60" s="296"/>
    </row>
    <row r="61" spans="1:13" s="166" customFormat="1" ht="14.25" customHeight="1" hidden="1">
      <c r="A61" s="648" t="s">
        <v>112</v>
      </c>
      <c r="B61" s="643" t="s">
        <v>148</v>
      </c>
      <c r="C61" s="643" t="s">
        <v>439</v>
      </c>
      <c r="D61" s="703" t="s">
        <v>471</v>
      </c>
      <c r="E61" s="643" t="s">
        <v>507</v>
      </c>
      <c r="F61" s="707" t="s">
        <v>440</v>
      </c>
      <c r="G61" s="708"/>
      <c r="H61" s="708"/>
      <c r="I61" s="709"/>
      <c r="J61" s="260"/>
      <c r="K61" s="260"/>
      <c r="L61" s="691" t="s">
        <v>146</v>
      </c>
      <c r="M61" s="165"/>
    </row>
    <row r="62" spans="1:13" s="166" customFormat="1" ht="14.25" customHeight="1" hidden="1">
      <c r="A62" s="642"/>
      <c r="B62" s="644"/>
      <c r="C62" s="644"/>
      <c r="D62" s="704"/>
      <c r="E62" s="644"/>
      <c r="F62" s="705" t="s">
        <v>453</v>
      </c>
      <c r="G62" s="705" t="s">
        <v>441</v>
      </c>
      <c r="H62" s="705"/>
      <c r="I62" s="705"/>
      <c r="J62" s="269"/>
      <c r="K62" s="269"/>
      <c r="L62" s="692"/>
      <c r="M62" s="165"/>
    </row>
    <row r="63" spans="1:13" s="166" customFormat="1" ht="14.25" customHeight="1" hidden="1">
      <c r="A63" s="642"/>
      <c r="B63" s="644"/>
      <c r="C63" s="644"/>
      <c r="D63" s="704"/>
      <c r="E63" s="644"/>
      <c r="F63" s="706"/>
      <c r="G63" s="645" t="s">
        <v>147</v>
      </c>
      <c r="H63" s="645" t="s">
        <v>137</v>
      </c>
      <c r="I63" s="645" t="s">
        <v>454</v>
      </c>
      <c r="J63" s="258" t="s">
        <v>508</v>
      </c>
      <c r="K63" s="645" t="s">
        <v>509</v>
      </c>
      <c r="L63" s="692"/>
      <c r="M63" s="165"/>
    </row>
    <row r="64" spans="1:13" s="166" customFormat="1" ht="14.25" customHeight="1" hidden="1">
      <c r="A64" s="642"/>
      <c r="B64" s="644"/>
      <c r="C64" s="644"/>
      <c r="D64" s="704"/>
      <c r="E64" s="644"/>
      <c r="F64" s="706"/>
      <c r="G64" s="685"/>
      <c r="H64" s="685"/>
      <c r="I64" s="685"/>
      <c r="J64" s="259"/>
      <c r="K64" s="685"/>
      <c r="L64" s="692"/>
      <c r="M64" s="165"/>
    </row>
    <row r="65" spans="1:13" s="166" customFormat="1" ht="15" customHeight="1" hidden="1" thickBot="1">
      <c r="A65" s="642"/>
      <c r="B65" s="644"/>
      <c r="C65" s="644"/>
      <c r="D65" s="704"/>
      <c r="E65" s="644"/>
      <c r="F65" s="706"/>
      <c r="G65" s="685"/>
      <c r="H65" s="685"/>
      <c r="I65" s="685"/>
      <c r="J65" s="259"/>
      <c r="K65" s="721"/>
      <c r="L65" s="722"/>
      <c r="M65" s="165"/>
    </row>
    <row r="66" spans="1:13" s="205" customFormat="1" ht="10.5" customHeight="1" hidden="1" thickBot="1">
      <c r="A66" s="206">
        <v>1</v>
      </c>
      <c r="B66" s="207">
        <v>2</v>
      </c>
      <c r="C66" s="207">
        <v>3</v>
      </c>
      <c r="D66" s="208">
        <v>4</v>
      </c>
      <c r="E66" s="207">
        <v>5</v>
      </c>
      <c r="F66" s="207">
        <v>6</v>
      </c>
      <c r="G66" s="209">
        <v>7</v>
      </c>
      <c r="H66" s="209">
        <v>8</v>
      </c>
      <c r="I66" s="209">
        <v>9</v>
      </c>
      <c r="J66" s="209">
        <v>10</v>
      </c>
      <c r="K66" s="209">
        <v>11</v>
      </c>
      <c r="L66" s="318">
        <v>12</v>
      </c>
      <c r="M66" s="204"/>
    </row>
    <row r="67" spans="1:13" s="177" customFormat="1" ht="18.75" customHeight="1">
      <c r="A67" s="652" t="s">
        <v>450</v>
      </c>
      <c r="B67" s="649"/>
      <c r="C67" s="649"/>
      <c r="D67" s="174">
        <f aca="true" t="shared" si="21" ref="D67:K67">D68+D71</f>
        <v>1023000</v>
      </c>
      <c r="E67" s="174">
        <f t="shared" si="21"/>
        <v>567000</v>
      </c>
      <c r="F67" s="174">
        <f t="shared" si="21"/>
        <v>0</v>
      </c>
      <c r="G67" s="174">
        <f t="shared" si="21"/>
        <v>112000</v>
      </c>
      <c r="H67" s="174">
        <f t="shared" si="21"/>
        <v>435000</v>
      </c>
      <c r="I67" s="174">
        <f t="shared" si="21"/>
        <v>20000</v>
      </c>
      <c r="J67" s="174">
        <f t="shared" si="21"/>
        <v>0</v>
      </c>
      <c r="K67" s="174">
        <f t="shared" si="21"/>
        <v>0</v>
      </c>
      <c r="L67" s="659" t="s">
        <v>457</v>
      </c>
      <c r="M67" s="176"/>
    </row>
    <row r="68" spans="1:13" s="177" customFormat="1" ht="18.75" customHeight="1">
      <c r="A68" s="646" t="s">
        <v>533</v>
      </c>
      <c r="B68" s="647"/>
      <c r="C68" s="647"/>
      <c r="D68" s="192">
        <f aca="true" t="shared" si="22" ref="D68:I68">SUM(D69:D70)</f>
        <v>583000</v>
      </c>
      <c r="E68" s="192">
        <f t="shared" si="22"/>
        <v>167000</v>
      </c>
      <c r="F68" s="192">
        <f t="shared" si="22"/>
        <v>0</v>
      </c>
      <c r="G68" s="192">
        <f t="shared" si="22"/>
        <v>92000</v>
      </c>
      <c r="H68" s="192">
        <f t="shared" si="22"/>
        <v>75000</v>
      </c>
      <c r="I68" s="192">
        <f t="shared" si="22"/>
        <v>0</v>
      </c>
      <c r="J68" s="192">
        <f>J70</f>
        <v>0</v>
      </c>
      <c r="K68" s="192"/>
      <c r="L68" s="650"/>
      <c r="M68" s="176"/>
    </row>
    <row r="69" spans="1:13" s="177" customFormat="1" ht="23.25" customHeight="1">
      <c r="A69" s="290" t="s">
        <v>522</v>
      </c>
      <c r="B69" s="271" t="s">
        <v>575</v>
      </c>
      <c r="C69" s="289" t="s">
        <v>456</v>
      </c>
      <c r="D69" s="190">
        <f>E69+9000</f>
        <v>76000</v>
      </c>
      <c r="E69" s="190">
        <f>SUM(F69,G69,H69,I69,L67)</f>
        <v>67000</v>
      </c>
      <c r="F69" s="190"/>
      <c r="G69" s="190">
        <v>67000</v>
      </c>
      <c r="H69" s="190"/>
      <c r="I69" s="190"/>
      <c r="J69" s="190"/>
      <c r="K69" s="190"/>
      <c r="L69" s="650"/>
      <c r="M69" s="176"/>
    </row>
    <row r="70" spans="1:13" s="177" customFormat="1" ht="33.75">
      <c r="A70" s="290" t="s">
        <v>526</v>
      </c>
      <c r="B70" s="271" t="s">
        <v>593</v>
      </c>
      <c r="C70" s="289" t="s">
        <v>517</v>
      </c>
      <c r="D70" s="190">
        <f>E70+7000+400000</f>
        <v>507000</v>
      </c>
      <c r="E70" s="190">
        <f>SUM(F70,G70,H70,I70,L68)</f>
        <v>100000</v>
      </c>
      <c r="F70" s="190"/>
      <c r="G70" s="190">
        <v>25000</v>
      </c>
      <c r="H70" s="190">
        <v>75000</v>
      </c>
      <c r="I70" s="190"/>
      <c r="J70" s="190"/>
      <c r="K70" s="315" t="s">
        <v>569</v>
      </c>
      <c r="L70" s="650"/>
      <c r="M70" s="176"/>
    </row>
    <row r="71" spans="1:13" s="177" customFormat="1" ht="22.5" customHeight="1">
      <c r="A71" s="713" t="s">
        <v>451</v>
      </c>
      <c r="B71" s="714"/>
      <c r="C71" s="714"/>
      <c r="D71" s="273">
        <f aca="true" t="shared" si="23" ref="D71:K71">SUM(D72:D72)</f>
        <v>440000</v>
      </c>
      <c r="E71" s="273">
        <f t="shared" si="23"/>
        <v>400000</v>
      </c>
      <c r="F71" s="273">
        <f t="shared" si="23"/>
        <v>0</v>
      </c>
      <c r="G71" s="273">
        <f t="shared" si="23"/>
        <v>20000</v>
      </c>
      <c r="H71" s="273">
        <f t="shared" si="23"/>
        <v>360000</v>
      </c>
      <c r="I71" s="273">
        <f t="shared" si="23"/>
        <v>20000</v>
      </c>
      <c r="J71" s="273">
        <f t="shared" si="23"/>
        <v>0</v>
      </c>
      <c r="K71" s="273">
        <f t="shared" si="23"/>
        <v>0</v>
      </c>
      <c r="L71" s="650"/>
      <c r="M71" s="176"/>
    </row>
    <row r="72" spans="1:13" s="177" customFormat="1" ht="34.5" thickBot="1">
      <c r="A72" s="200" t="s">
        <v>527</v>
      </c>
      <c r="B72" s="186" t="s">
        <v>594</v>
      </c>
      <c r="C72" s="199" t="s">
        <v>456</v>
      </c>
      <c r="D72" s="180">
        <f>E72+40000</f>
        <v>440000</v>
      </c>
      <c r="E72" s="178">
        <f>SUM(F72,G72,H72,I72,)</f>
        <v>400000</v>
      </c>
      <c r="F72" s="178"/>
      <c r="G72" s="179">
        <v>20000</v>
      </c>
      <c r="H72" s="178">
        <v>360000</v>
      </c>
      <c r="I72" s="178">
        <v>20000</v>
      </c>
      <c r="J72" s="179"/>
      <c r="K72" s="315" t="s">
        <v>568</v>
      </c>
      <c r="L72" s="651"/>
      <c r="M72" s="176"/>
    </row>
    <row r="73" spans="1:13" s="177" customFormat="1" ht="18" customHeight="1">
      <c r="A73" s="652" t="s">
        <v>534</v>
      </c>
      <c r="B73" s="649"/>
      <c r="C73" s="649"/>
      <c r="D73" s="174">
        <f aca="true" t="shared" si="24" ref="D73:K73">D74+D77</f>
        <v>1300000</v>
      </c>
      <c r="E73" s="174">
        <f t="shared" si="24"/>
        <v>200000</v>
      </c>
      <c r="F73" s="174">
        <f t="shared" si="24"/>
        <v>150000</v>
      </c>
      <c r="G73" s="174">
        <f t="shared" si="24"/>
        <v>10000</v>
      </c>
      <c r="H73" s="174">
        <f t="shared" si="24"/>
        <v>10000</v>
      </c>
      <c r="I73" s="174">
        <f t="shared" si="24"/>
        <v>30000</v>
      </c>
      <c r="J73" s="174">
        <f t="shared" si="24"/>
        <v>0</v>
      </c>
      <c r="K73" s="174">
        <f t="shared" si="24"/>
        <v>0</v>
      </c>
      <c r="L73" s="659" t="s">
        <v>457</v>
      </c>
      <c r="M73" s="176"/>
    </row>
    <row r="74" spans="1:13" s="177" customFormat="1" ht="22.5" customHeight="1">
      <c r="A74" s="646" t="s">
        <v>570</v>
      </c>
      <c r="B74" s="647"/>
      <c r="C74" s="647"/>
      <c r="D74" s="192">
        <f aca="true" t="shared" si="25" ref="D74:K74">SUM(D75:D75)</f>
        <v>1300000</v>
      </c>
      <c r="E74" s="192">
        <f t="shared" si="25"/>
        <v>200000</v>
      </c>
      <c r="F74" s="192">
        <f t="shared" si="25"/>
        <v>150000</v>
      </c>
      <c r="G74" s="192">
        <f t="shared" si="25"/>
        <v>10000</v>
      </c>
      <c r="H74" s="192">
        <f t="shared" si="25"/>
        <v>10000</v>
      </c>
      <c r="I74" s="192">
        <f t="shared" si="25"/>
        <v>30000</v>
      </c>
      <c r="J74" s="192">
        <f t="shared" si="25"/>
        <v>0</v>
      </c>
      <c r="K74" s="192">
        <f t="shared" si="25"/>
        <v>0</v>
      </c>
      <c r="L74" s="650"/>
      <c r="M74" s="176"/>
    </row>
    <row r="75" spans="1:13" s="177" customFormat="1" ht="23.25" customHeight="1" thickBot="1">
      <c r="A75" s="290" t="s">
        <v>674</v>
      </c>
      <c r="B75" s="271" t="s">
        <v>535</v>
      </c>
      <c r="C75" s="289" t="s">
        <v>536</v>
      </c>
      <c r="D75" s="190">
        <f>E75+15000+900000+185000</f>
        <v>1300000</v>
      </c>
      <c r="E75" s="190">
        <f>SUM(F75,G75,H75,I75)</f>
        <v>200000</v>
      </c>
      <c r="F75" s="190">
        <v>150000</v>
      </c>
      <c r="G75" s="190">
        <v>10000</v>
      </c>
      <c r="H75" s="190">
        <v>10000</v>
      </c>
      <c r="I75" s="190">
        <v>30000</v>
      </c>
      <c r="J75" s="190"/>
      <c r="K75" s="190"/>
      <c r="L75" s="651"/>
      <c r="M75" s="176"/>
    </row>
    <row r="76" spans="1:13" s="177" customFormat="1" ht="22.5" customHeight="1" thickBot="1">
      <c r="A76" s="184"/>
      <c r="B76" s="711" t="s">
        <v>470</v>
      </c>
      <c r="C76" s="712"/>
      <c r="D76" s="201">
        <f>D67+D52+D49+D46+D39+D27+D19+D9+D55+D43</f>
        <v>19325400</v>
      </c>
      <c r="E76" s="201">
        <f>E67+E52+E49+E46+E39+E27+E19+E9+E55+E43+E73</f>
        <v>11081500</v>
      </c>
      <c r="F76" s="201">
        <f aca="true" t="shared" si="26" ref="F76:K76">F67+F52+F49+F46+F39+F27+F19+F9+F55+F43+F73</f>
        <v>7155000</v>
      </c>
      <c r="G76" s="201">
        <f>G73+G67+G55+G49+G27+G19+G9</f>
        <v>763500</v>
      </c>
      <c r="H76" s="201">
        <f t="shared" si="26"/>
        <v>2155000</v>
      </c>
      <c r="I76" s="201">
        <f t="shared" si="26"/>
        <v>1008000</v>
      </c>
      <c r="J76" s="201">
        <f t="shared" si="26"/>
        <v>0</v>
      </c>
      <c r="K76" s="201">
        <f t="shared" si="26"/>
        <v>0</v>
      </c>
      <c r="L76" s="185"/>
      <c r="M76" s="176"/>
    </row>
    <row r="77" spans="1:12" s="170" customFormat="1" ht="14.25" customHeight="1">
      <c r="A77" s="167"/>
      <c r="B77" s="164"/>
      <c r="C77" s="164"/>
      <c r="D77" s="168"/>
      <c r="E77" s="168"/>
      <c r="F77" s="164"/>
      <c r="G77" s="164"/>
      <c r="H77" s="168"/>
      <c r="I77" s="164"/>
      <c r="J77" s="164"/>
      <c r="K77" s="164"/>
      <c r="L77" s="169"/>
    </row>
    <row r="78" ht="18.75" customHeight="1">
      <c r="E78" s="172"/>
    </row>
    <row r="79" spans="9:11" ht="18.75" customHeight="1">
      <c r="I79" s="390" t="s">
        <v>601</v>
      </c>
      <c r="K79" s="391">
        <f>300000+75000+67500+200000</f>
        <v>642500</v>
      </c>
    </row>
    <row r="80" ht="18.75" customHeight="1">
      <c r="K80" s="171">
        <v>575000</v>
      </c>
    </row>
    <row r="81" ht="18.75" customHeight="1">
      <c r="K81" s="392">
        <f>K79-K80</f>
        <v>67500</v>
      </c>
    </row>
  </sheetData>
  <mergeCells count="78">
    <mergeCell ref="K34:K36"/>
    <mergeCell ref="D61:D65"/>
    <mergeCell ref="K63:K65"/>
    <mergeCell ref="L61:L65"/>
    <mergeCell ref="E61:E65"/>
    <mergeCell ref="F61:I61"/>
    <mergeCell ref="F62:F65"/>
    <mergeCell ref="G62:I62"/>
    <mergeCell ref="G63:G65"/>
    <mergeCell ref="H63:H65"/>
    <mergeCell ref="C32:C36"/>
    <mergeCell ref="D32:D36"/>
    <mergeCell ref="E32:E36"/>
    <mergeCell ref="F32:I32"/>
    <mergeCell ref="F33:F36"/>
    <mergeCell ref="G33:I33"/>
    <mergeCell ref="G34:G36"/>
    <mergeCell ref="H34:H36"/>
    <mergeCell ref="I34:I36"/>
    <mergeCell ref="A1:L1"/>
    <mergeCell ref="L52:L54"/>
    <mergeCell ref="L49:L51"/>
    <mergeCell ref="I5:I7"/>
    <mergeCell ref="L3:L7"/>
    <mergeCell ref="A40:C40"/>
    <mergeCell ref="A52:C52"/>
    <mergeCell ref="A3:A7"/>
    <mergeCell ref="A27:C27"/>
    <mergeCell ref="A28:C28"/>
    <mergeCell ref="K5:K7"/>
    <mergeCell ref="B76:C76"/>
    <mergeCell ref="A71:C71"/>
    <mergeCell ref="A50:C50"/>
    <mergeCell ref="A46:C46"/>
    <mergeCell ref="A47:C47"/>
    <mergeCell ref="A49:C49"/>
    <mergeCell ref="A68:C68"/>
    <mergeCell ref="A32:A36"/>
    <mergeCell ref="B32:B36"/>
    <mergeCell ref="A20:C20"/>
    <mergeCell ref="D3:D7"/>
    <mergeCell ref="B3:B7"/>
    <mergeCell ref="G4:I4"/>
    <mergeCell ref="E3:E7"/>
    <mergeCell ref="G5:G7"/>
    <mergeCell ref="H5:H7"/>
    <mergeCell ref="F4:F7"/>
    <mergeCell ref="C3:C7"/>
    <mergeCell ref="F3:I3"/>
    <mergeCell ref="A9:C9"/>
    <mergeCell ref="A10:C10"/>
    <mergeCell ref="A19:C19"/>
    <mergeCell ref="A17:C17"/>
    <mergeCell ref="A44:C44"/>
    <mergeCell ref="A39:C39"/>
    <mergeCell ref="A43:C43"/>
    <mergeCell ref="A55:C55"/>
    <mergeCell ref="L41:L42"/>
    <mergeCell ref="L44:L45"/>
    <mergeCell ref="L11:L16"/>
    <mergeCell ref="L21:L26"/>
    <mergeCell ref="L17:L18"/>
    <mergeCell ref="L32:L36"/>
    <mergeCell ref="L29:L30"/>
    <mergeCell ref="L46:L48"/>
    <mergeCell ref="L73:L75"/>
    <mergeCell ref="A67:C67"/>
    <mergeCell ref="A53:C53"/>
    <mergeCell ref="A58:C58"/>
    <mergeCell ref="A56:C56"/>
    <mergeCell ref="A61:A65"/>
    <mergeCell ref="B61:B65"/>
    <mergeCell ref="C61:C65"/>
    <mergeCell ref="I63:I65"/>
    <mergeCell ref="L55:L59"/>
    <mergeCell ref="L67:L72"/>
    <mergeCell ref="A73:C73"/>
    <mergeCell ref="A74:C74"/>
  </mergeCells>
  <printOptions/>
  <pageMargins left="0.1968503937007874" right="0.15748031496062992" top="0.8661417322834646" bottom="0.31496062992125984" header="0.11811023622047245" footer="0.11811023622047245"/>
  <pageSetup horizontalDpi="300" verticalDpi="300" orientation="landscape" paperSize="9" scale="85" r:id="rId1"/>
  <headerFooter alignWithMargins="0">
    <oddHeader>&amp;R&amp;"Arial CE,Pogrubiony"Załącznik Nr &amp;A&amp;"Arial CE,Standardowy"
&amp;9do Uchwały Rady Gminy
Miłkowice Nr ......................
z dnia .............................. roku</oddHeader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7"/>
  <dimension ref="A1:L201"/>
  <sheetViews>
    <sheetView zoomScale="83" zoomScaleNormal="83" workbookViewId="0" topLeftCell="A175">
      <selection activeCell="M17" sqref="M17"/>
    </sheetView>
  </sheetViews>
  <sheetFormatPr defaultColWidth="9.00390625" defaultRowHeight="18.75" customHeight="1"/>
  <cols>
    <col min="1" max="1" width="18.875" style="171" customWidth="1"/>
    <col min="2" max="2" width="34.375" style="171" customWidth="1"/>
    <col min="3" max="3" width="13.375" style="171" customWidth="1"/>
    <col min="4" max="4" width="11.00390625" style="171" customWidth="1"/>
    <col min="5" max="5" width="24.00390625" style="172" customWidth="1"/>
    <col min="6" max="6" width="14.25390625" style="171" bestFit="1" customWidth="1"/>
    <col min="7" max="7" width="12.75390625" style="171" customWidth="1"/>
    <col min="8" max="9" width="12.25390625" style="171" customWidth="1"/>
    <col min="10" max="10" width="11.375" style="171" hidden="1" customWidth="1"/>
    <col min="11" max="11" width="4.125" style="171" customWidth="1"/>
    <col min="12" max="16384" width="6.75390625" style="171" customWidth="1"/>
  </cols>
  <sheetData>
    <row r="1" spans="1:11" s="163" customFormat="1" ht="21" customHeight="1">
      <c r="A1" s="718" t="s">
        <v>675</v>
      </c>
      <c r="B1" s="718"/>
      <c r="C1" s="718"/>
      <c r="D1" s="718"/>
      <c r="E1" s="718"/>
      <c r="F1" s="718"/>
      <c r="G1" s="718"/>
      <c r="H1" s="718"/>
      <c r="I1" s="718"/>
      <c r="J1" s="324"/>
      <c r="K1" s="173"/>
    </row>
    <row r="2" spans="1:11" s="163" customFormat="1" ht="15.75" customHeight="1">
      <c r="A2" s="324"/>
      <c r="B2" s="324"/>
      <c r="C2" s="324"/>
      <c r="D2" s="324"/>
      <c r="E2" s="324"/>
      <c r="F2" s="324"/>
      <c r="G2" s="324"/>
      <c r="H2" s="324"/>
      <c r="I2" s="324"/>
      <c r="J2" s="324"/>
      <c r="K2" s="173"/>
    </row>
    <row r="3" spans="2:11" s="164" customFormat="1" ht="12" customHeight="1" thickBot="1">
      <c r="B3" s="168"/>
      <c r="C3" s="9"/>
      <c r="E3" s="168"/>
      <c r="I3" s="9" t="s">
        <v>97</v>
      </c>
      <c r="K3" s="165"/>
    </row>
    <row r="4" spans="1:11" s="166" customFormat="1" ht="14.25" customHeight="1">
      <c r="A4" s="648" t="s">
        <v>614</v>
      </c>
      <c r="B4" s="643" t="s">
        <v>148</v>
      </c>
      <c r="C4" s="740" t="s">
        <v>634</v>
      </c>
      <c r="D4" s="648" t="s">
        <v>615</v>
      </c>
      <c r="E4" s="731" t="s">
        <v>616</v>
      </c>
      <c r="F4" s="732"/>
      <c r="G4" s="758" t="s">
        <v>629</v>
      </c>
      <c r="H4" s="759"/>
      <c r="I4" s="760"/>
      <c r="J4" s="260"/>
      <c r="K4" s="165"/>
    </row>
    <row r="5" spans="1:11" s="166" customFormat="1" ht="14.25" customHeight="1">
      <c r="A5" s="642"/>
      <c r="B5" s="644"/>
      <c r="C5" s="741"/>
      <c r="D5" s="642"/>
      <c r="E5" s="733"/>
      <c r="F5" s="734"/>
      <c r="G5" s="761"/>
      <c r="H5" s="762"/>
      <c r="I5" s="763"/>
      <c r="J5" s="475"/>
      <c r="K5" s="165"/>
    </row>
    <row r="6" spans="1:11" s="166" customFormat="1" ht="17.25" customHeight="1">
      <c r="A6" s="642"/>
      <c r="B6" s="644"/>
      <c r="C6" s="741"/>
      <c r="D6" s="642"/>
      <c r="E6" s="733"/>
      <c r="F6" s="734"/>
      <c r="G6" s="645" t="s">
        <v>628</v>
      </c>
      <c r="H6" s="645" t="s">
        <v>423</v>
      </c>
      <c r="I6" s="693" t="s">
        <v>506</v>
      </c>
      <c r="J6" s="476" t="s">
        <v>508</v>
      </c>
      <c r="K6" s="165"/>
    </row>
    <row r="7" spans="1:11" s="166" customFormat="1" ht="9" customHeight="1" thickBot="1">
      <c r="A7" s="723"/>
      <c r="B7" s="724"/>
      <c r="C7" s="742"/>
      <c r="D7" s="723"/>
      <c r="E7" s="735"/>
      <c r="F7" s="736"/>
      <c r="G7" s="721"/>
      <c r="H7" s="721"/>
      <c r="I7" s="742"/>
      <c r="J7" s="477"/>
      <c r="K7" s="165"/>
    </row>
    <row r="8" spans="1:11" s="205" customFormat="1" ht="9" customHeight="1">
      <c r="A8" s="480">
        <v>1</v>
      </c>
      <c r="B8" s="480">
        <v>2</v>
      </c>
      <c r="C8" s="481">
        <v>3</v>
      </c>
      <c r="D8" s="480">
        <v>4</v>
      </c>
      <c r="E8" s="743">
        <v>5</v>
      </c>
      <c r="F8" s="743"/>
      <c r="G8" s="482">
        <v>6</v>
      </c>
      <c r="H8" s="482">
        <v>7</v>
      </c>
      <c r="I8" s="482">
        <v>8</v>
      </c>
      <c r="J8" s="312">
        <v>10</v>
      </c>
      <c r="K8" s="204"/>
    </row>
    <row r="9" spans="1:11" s="177" customFormat="1" ht="21" customHeight="1">
      <c r="A9" s="755" t="s">
        <v>231</v>
      </c>
      <c r="B9" s="727" t="s">
        <v>510</v>
      </c>
      <c r="C9" s="737" t="s">
        <v>511</v>
      </c>
      <c r="D9" s="728" t="s">
        <v>456</v>
      </c>
      <c r="E9" s="488" t="s">
        <v>623</v>
      </c>
      <c r="F9" s="473">
        <f>SUM(F10:F13)</f>
        <v>5040000</v>
      </c>
      <c r="G9" s="190">
        <f>SUM(G10:G13)</f>
        <v>5000000</v>
      </c>
      <c r="H9" s="190">
        <f>SUM(H10:H13)</f>
        <v>0</v>
      </c>
      <c r="I9" s="190">
        <f>SUM(I10:I13)</f>
        <v>0</v>
      </c>
      <c r="J9" s="424"/>
      <c r="K9" s="176"/>
    </row>
    <row r="10" spans="1:11" s="177" customFormat="1" ht="15" customHeight="1">
      <c r="A10" s="756"/>
      <c r="B10" s="725"/>
      <c r="C10" s="738"/>
      <c r="D10" s="729"/>
      <c r="E10" s="463" t="s">
        <v>624</v>
      </c>
      <c r="F10" s="203">
        <f>G10+H10+I10</f>
        <v>4250000</v>
      </c>
      <c r="G10" s="178">
        <v>4250000</v>
      </c>
      <c r="H10" s="178"/>
      <c r="I10" s="178"/>
      <c r="J10" s="424"/>
      <c r="K10" s="176"/>
    </row>
    <row r="11" spans="1:11" s="177" customFormat="1" ht="15" customHeight="1">
      <c r="A11" s="756"/>
      <c r="B11" s="725"/>
      <c r="C11" s="738"/>
      <c r="D11" s="729"/>
      <c r="E11" s="463" t="s">
        <v>625</v>
      </c>
      <c r="F11" s="203">
        <f>G11+H11+I11+40000</f>
        <v>265000</v>
      </c>
      <c r="G11" s="178">
        <v>225000</v>
      </c>
      <c r="H11" s="178"/>
      <c r="I11" s="178"/>
      <c r="J11" s="424"/>
      <c r="K11" s="176"/>
    </row>
    <row r="12" spans="1:11" s="177" customFormat="1" ht="15" customHeight="1">
      <c r="A12" s="756"/>
      <c r="B12" s="725"/>
      <c r="C12" s="738"/>
      <c r="D12" s="729"/>
      <c r="E12" s="463" t="s">
        <v>626</v>
      </c>
      <c r="F12" s="203">
        <f>G12+H12+I12</f>
        <v>275000</v>
      </c>
      <c r="G12" s="178">
        <v>275000</v>
      </c>
      <c r="H12" s="178"/>
      <c r="I12" s="178"/>
      <c r="J12" s="424"/>
      <c r="K12" s="176"/>
    </row>
    <row r="13" spans="1:11" s="177" customFormat="1" ht="15" customHeight="1">
      <c r="A13" s="756"/>
      <c r="B13" s="726"/>
      <c r="C13" s="739"/>
      <c r="D13" s="730"/>
      <c r="E13" s="465" t="s">
        <v>627</v>
      </c>
      <c r="F13" s="472">
        <f>G13+H13+I13</f>
        <v>250000</v>
      </c>
      <c r="G13" s="479">
        <v>250000</v>
      </c>
      <c r="H13" s="479"/>
      <c r="I13" s="479"/>
      <c r="J13" s="424"/>
      <c r="K13" s="176"/>
    </row>
    <row r="14" spans="1:11" s="177" customFormat="1" ht="21" customHeight="1">
      <c r="A14" s="756"/>
      <c r="B14" s="725" t="s">
        <v>512</v>
      </c>
      <c r="C14" s="737" t="s">
        <v>511</v>
      </c>
      <c r="D14" s="729" t="s">
        <v>517</v>
      </c>
      <c r="E14" s="488" t="s">
        <v>623</v>
      </c>
      <c r="F14" s="473">
        <f>SUM(F15:F18)</f>
        <v>5107000</v>
      </c>
      <c r="G14" s="190">
        <f>SUM(G15:G18)</f>
        <v>100000</v>
      </c>
      <c r="H14" s="190">
        <f>SUM(H15:H18)</f>
        <v>5000000</v>
      </c>
      <c r="I14" s="190">
        <f>SUM(I15:I18)</f>
        <v>0</v>
      </c>
      <c r="J14" s="424"/>
      <c r="K14" s="176"/>
    </row>
    <row r="15" spans="1:11" s="177" customFormat="1" ht="15" customHeight="1">
      <c r="A15" s="756"/>
      <c r="B15" s="725"/>
      <c r="C15" s="738"/>
      <c r="D15" s="729"/>
      <c r="E15" s="426" t="s">
        <v>624</v>
      </c>
      <c r="F15" s="203">
        <f>G15+H15+I15</f>
        <v>4335000</v>
      </c>
      <c r="G15" s="178">
        <v>85000</v>
      </c>
      <c r="H15" s="178">
        <v>4250000</v>
      </c>
      <c r="I15" s="178"/>
      <c r="J15" s="424"/>
      <c r="K15" s="176"/>
    </row>
    <row r="16" spans="1:11" s="177" customFormat="1" ht="15" customHeight="1">
      <c r="A16" s="756"/>
      <c r="B16" s="725"/>
      <c r="C16" s="738"/>
      <c r="D16" s="729"/>
      <c r="E16" s="426" t="s">
        <v>625</v>
      </c>
      <c r="F16" s="203">
        <f>G16+H16+I16+7000</f>
        <v>272000</v>
      </c>
      <c r="G16" s="178">
        <v>15000</v>
      </c>
      <c r="H16" s="178">
        <v>250000</v>
      </c>
      <c r="I16" s="178"/>
      <c r="J16" s="424"/>
      <c r="K16" s="176"/>
    </row>
    <row r="17" spans="1:11" s="177" customFormat="1" ht="15" customHeight="1">
      <c r="A17" s="756"/>
      <c r="B17" s="725"/>
      <c r="C17" s="738"/>
      <c r="D17" s="729"/>
      <c r="E17" s="426" t="s">
        <v>626</v>
      </c>
      <c r="F17" s="203">
        <f>G17+H17+I17</f>
        <v>250000</v>
      </c>
      <c r="G17" s="178"/>
      <c r="H17" s="178">
        <v>250000</v>
      </c>
      <c r="I17" s="178"/>
      <c r="J17" s="424"/>
      <c r="K17" s="176"/>
    </row>
    <row r="18" spans="1:11" s="177" customFormat="1" ht="15" customHeight="1">
      <c r="A18" s="756"/>
      <c r="B18" s="726"/>
      <c r="C18" s="739"/>
      <c r="D18" s="730"/>
      <c r="E18" s="469" t="s">
        <v>627</v>
      </c>
      <c r="F18" s="472">
        <f>G18+H18+I18</f>
        <v>250000</v>
      </c>
      <c r="G18" s="479"/>
      <c r="H18" s="479">
        <v>250000</v>
      </c>
      <c r="I18" s="479"/>
      <c r="J18" s="424"/>
      <c r="K18" s="176"/>
    </row>
    <row r="19" spans="1:11" s="177" customFormat="1" ht="30.75" customHeight="1">
      <c r="A19" s="756"/>
      <c r="B19" s="727" t="s">
        <v>513</v>
      </c>
      <c r="C19" s="737" t="s">
        <v>511</v>
      </c>
      <c r="D19" s="728" t="s">
        <v>456</v>
      </c>
      <c r="E19" s="487" t="s">
        <v>623</v>
      </c>
      <c r="F19" s="473">
        <f>SUM(F20:F23)</f>
        <v>886600</v>
      </c>
      <c r="G19" s="190">
        <f>SUM(G20:G23)</f>
        <v>127500</v>
      </c>
      <c r="H19" s="473">
        <f>SUM(H20:H23)</f>
        <v>0</v>
      </c>
      <c r="I19" s="190">
        <f>SUM(I20:I23)</f>
        <v>0</v>
      </c>
      <c r="J19" s="424"/>
      <c r="K19" s="176"/>
    </row>
    <row r="20" spans="1:11" s="177" customFormat="1" ht="15" customHeight="1">
      <c r="A20" s="756"/>
      <c r="B20" s="725"/>
      <c r="C20" s="738"/>
      <c r="D20" s="729"/>
      <c r="E20" s="470" t="s">
        <v>624</v>
      </c>
      <c r="F20" s="203">
        <f>G20+H20+I20+H20</f>
        <v>0</v>
      </c>
      <c r="G20" s="178"/>
      <c r="H20" s="203"/>
      <c r="I20" s="178"/>
      <c r="J20" s="424"/>
      <c r="K20" s="176"/>
    </row>
    <row r="21" spans="1:11" s="177" customFormat="1" ht="15" customHeight="1">
      <c r="A21" s="756"/>
      <c r="B21" s="725"/>
      <c r="C21" s="738"/>
      <c r="D21" s="729"/>
      <c r="E21" s="470" t="s">
        <v>625</v>
      </c>
      <c r="F21" s="203">
        <f>G21+H21+I21+H21+44600</f>
        <v>52100</v>
      </c>
      <c r="G21" s="178">
        <v>7500</v>
      </c>
      <c r="H21" s="203"/>
      <c r="I21" s="178"/>
      <c r="J21" s="424"/>
      <c r="K21" s="176"/>
    </row>
    <row r="22" spans="1:11" s="177" customFormat="1" ht="15" customHeight="1">
      <c r="A22" s="756"/>
      <c r="B22" s="725"/>
      <c r="C22" s="738"/>
      <c r="D22" s="729"/>
      <c r="E22" s="470" t="s">
        <v>626</v>
      </c>
      <c r="F22" s="203">
        <f>G22+H22+I22+H22+528300</f>
        <v>648300</v>
      </c>
      <c r="G22" s="178">
        <v>120000</v>
      </c>
      <c r="H22" s="203"/>
      <c r="I22" s="178"/>
      <c r="J22" s="424"/>
      <c r="K22" s="176"/>
    </row>
    <row r="23" spans="1:11" s="177" customFormat="1" ht="15" customHeight="1">
      <c r="A23" s="756"/>
      <c r="B23" s="726"/>
      <c r="C23" s="739"/>
      <c r="D23" s="730"/>
      <c r="E23" s="471" t="s">
        <v>627</v>
      </c>
      <c r="F23" s="466">
        <f>G23+H23+I23+H23+186200</f>
        <v>186200</v>
      </c>
      <c r="G23" s="479"/>
      <c r="H23" s="203"/>
      <c r="I23" s="479"/>
      <c r="J23" s="424"/>
      <c r="K23" s="176"/>
    </row>
    <row r="24" spans="1:11" s="177" customFormat="1" ht="20.25" customHeight="1">
      <c r="A24" s="756"/>
      <c r="B24" s="725" t="s">
        <v>604</v>
      </c>
      <c r="C24" s="738" t="s">
        <v>511</v>
      </c>
      <c r="D24" s="728" t="s">
        <v>456</v>
      </c>
      <c r="E24" s="488" t="s">
        <v>623</v>
      </c>
      <c r="F24" s="473">
        <f>SUM(F25:F28)</f>
        <v>222000</v>
      </c>
      <c r="G24" s="190">
        <f>SUM(G25:G28)</f>
        <v>200000</v>
      </c>
      <c r="H24" s="190">
        <f>SUM(H25:H28)</f>
        <v>0</v>
      </c>
      <c r="I24" s="190">
        <f>SUM(I25:I28)</f>
        <v>0</v>
      </c>
      <c r="J24" s="424"/>
      <c r="K24" s="176"/>
    </row>
    <row r="25" spans="1:11" s="177" customFormat="1" ht="15" customHeight="1">
      <c r="A25" s="756"/>
      <c r="B25" s="725"/>
      <c r="C25" s="738"/>
      <c r="D25" s="729"/>
      <c r="E25" s="463" t="s">
        <v>624</v>
      </c>
      <c r="F25" s="203">
        <f>G25+H25+I25</f>
        <v>0</v>
      </c>
      <c r="G25" s="178"/>
      <c r="H25" s="178"/>
      <c r="I25" s="178"/>
      <c r="J25" s="424"/>
      <c r="K25" s="176"/>
    </row>
    <row r="26" spans="1:11" s="177" customFormat="1" ht="15" customHeight="1">
      <c r="A26" s="756"/>
      <c r="B26" s="725"/>
      <c r="C26" s="738"/>
      <c r="D26" s="729"/>
      <c r="E26" s="463" t="s">
        <v>625</v>
      </c>
      <c r="F26" s="203">
        <f>G26+H26+I26+22000</f>
        <v>22000</v>
      </c>
      <c r="G26" s="178"/>
      <c r="H26" s="178"/>
      <c r="I26" s="178"/>
      <c r="J26" s="424"/>
      <c r="K26" s="176"/>
    </row>
    <row r="27" spans="1:11" s="177" customFormat="1" ht="15" customHeight="1">
      <c r="A27" s="756"/>
      <c r="B27" s="725"/>
      <c r="C27" s="738"/>
      <c r="D27" s="729"/>
      <c r="E27" s="463" t="s">
        <v>626</v>
      </c>
      <c r="F27" s="203">
        <f>G27+H27+I27</f>
        <v>50000</v>
      </c>
      <c r="G27" s="178">
        <v>50000</v>
      </c>
      <c r="H27" s="178"/>
      <c r="I27" s="178"/>
      <c r="J27" s="424"/>
      <c r="K27" s="176"/>
    </row>
    <row r="28" spans="1:11" s="177" customFormat="1" ht="15" customHeight="1">
      <c r="A28" s="756"/>
      <c r="B28" s="726"/>
      <c r="C28" s="738"/>
      <c r="D28" s="730"/>
      <c r="E28" s="463" t="s">
        <v>627</v>
      </c>
      <c r="F28" s="203">
        <f>G28+H28+I28</f>
        <v>150000</v>
      </c>
      <c r="G28" s="479">
        <v>150000</v>
      </c>
      <c r="H28" s="479"/>
      <c r="I28" s="479"/>
      <c r="J28" s="424"/>
      <c r="K28" s="176"/>
    </row>
    <row r="29" spans="1:11" s="177" customFormat="1" ht="21" customHeight="1">
      <c r="A29" s="756"/>
      <c r="B29" s="725" t="s">
        <v>630</v>
      </c>
      <c r="C29" s="737" t="s">
        <v>511</v>
      </c>
      <c r="D29" s="728" t="s">
        <v>631</v>
      </c>
      <c r="E29" s="488" t="s">
        <v>623</v>
      </c>
      <c r="F29" s="473">
        <f>SUM(F30:F33)</f>
        <v>3000000</v>
      </c>
      <c r="G29" s="190">
        <f>SUM(G30:G33)</f>
        <v>0</v>
      </c>
      <c r="H29" s="285">
        <f>SUM(H30:H33)</f>
        <v>1000000</v>
      </c>
      <c r="I29" s="190">
        <f>SUM(I30:I33)</f>
        <v>1000000</v>
      </c>
      <c r="J29" s="424"/>
      <c r="K29" s="176"/>
    </row>
    <row r="30" spans="1:11" s="177" customFormat="1" ht="15" customHeight="1">
      <c r="A30" s="756"/>
      <c r="B30" s="725"/>
      <c r="C30" s="738"/>
      <c r="D30" s="729"/>
      <c r="E30" s="426" t="s">
        <v>624</v>
      </c>
      <c r="F30" s="203">
        <f>G30+H30+I30+H30</f>
        <v>2250000</v>
      </c>
      <c r="G30" s="178"/>
      <c r="H30" s="203">
        <v>750000</v>
      </c>
      <c r="I30" s="178">
        <v>750000</v>
      </c>
      <c r="J30" s="424"/>
      <c r="K30" s="176"/>
    </row>
    <row r="31" spans="1:11" s="177" customFormat="1" ht="15" customHeight="1">
      <c r="A31" s="756"/>
      <c r="B31" s="725"/>
      <c r="C31" s="738"/>
      <c r="D31" s="729"/>
      <c r="E31" s="426" t="s">
        <v>625</v>
      </c>
      <c r="F31" s="203">
        <f>G31+H31+I31+H31</f>
        <v>150000</v>
      </c>
      <c r="G31" s="178"/>
      <c r="H31" s="203">
        <v>50000</v>
      </c>
      <c r="I31" s="178">
        <v>50000</v>
      </c>
      <c r="J31" s="424"/>
      <c r="K31" s="176"/>
    </row>
    <row r="32" spans="1:11" s="177" customFormat="1" ht="15" customHeight="1">
      <c r="A32" s="756"/>
      <c r="B32" s="725"/>
      <c r="C32" s="738"/>
      <c r="D32" s="729"/>
      <c r="E32" s="426" t="s">
        <v>626</v>
      </c>
      <c r="F32" s="203">
        <f>G32+H32+I32+H32</f>
        <v>450000</v>
      </c>
      <c r="G32" s="178"/>
      <c r="H32" s="203">
        <v>150000</v>
      </c>
      <c r="I32" s="178">
        <v>150000</v>
      </c>
      <c r="J32" s="424"/>
      <c r="K32" s="176"/>
    </row>
    <row r="33" spans="1:11" s="177" customFormat="1" ht="15" customHeight="1">
      <c r="A33" s="757"/>
      <c r="B33" s="726"/>
      <c r="C33" s="739"/>
      <c r="D33" s="730"/>
      <c r="E33" s="469" t="s">
        <v>627</v>
      </c>
      <c r="F33" s="472">
        <f>G33+H33+I33+H33</f>
        <v>150000</v>
      </c>
      <c r="G33" s="479"/>
      <c r="H33" s="472">
        <v>50000</v>
      </c>
      <c r="I33" s="479">
        <v>50000</v>
      </c>
      <c r="J33" s="464"/>
      <c r="K33" s="176"/>
    </row>
    <row r="34" spans="1:12" s="163" customFormat="1" ht="24.75" customHeight="1" thickBot="1">
      <c r="A34" s="483"/>
      <c r="B34" s="484"/>
      <c r="C34" s="484"/>
      <c r="D34" s="484"/>
      <c r="E34" s="484"/>
      <c r="F34" s="484"/>
      <c r="G34" s="484"/>
      <c r="H34" s="484"/>
      <c r="I34" s="484"/>
      <c r="J34" s="484"/>
      <c r="K34" s="485"/>
      <c r="L34" s="486"/>
    </row>
    <row r="35" spans="1:11" s="166" customFormat="1" ht="14.25" customHeight="1">
      <c r="A35" s="706" t="s">
        <v>614</v>
      </c>
      <c r="B35" s="706" t="s">
        <v>148</v>
      </c>
      <c r="C35" s="693" t="s">
        <v>634</v>
      </c>
      <c r="D35" s="778" t="s">
        <v>615</v>
      </c>
      <c r="E35" s="764" t="s">
        <v>616</v>
      </c>
      <c r="F35" s="765"/>
      <c r="G35" s="768" t="s">
        <v>629</v>
      </c>
      <c r="H35" s="769"/>
      <c r="I35" s="770"/>
      <c r="J35" s="260"/>
      <c r="K35" s="165"/>
    </row>
    <row r="36" spans="1:11" s="166" customFormat="1" ht="14.25" customHeight="1">
      <c r="A36" s="644"/>
      <c r="B36" s="644"/>
      <c r="C36" s="741"/>
      <c r="D36" s="642"/>
      <c r="E36" s="733"/>
      <c r="F36" s="734"/>
      <c r="G36" s="761"/>
      <c r="H36" s="762"/>
      <c r="I36" s="771"/>
      <c r="J36" s="269"/>
      <c r="K36" s="165"/>
    </row>
    <row r="37" spans="1:11" s="166" customFormat="1" ht="17.25" customHeight="1">
      <c r="A37" s="644"/>
      <c r="B37" s="644"/>
      <c r="C37" s="741"/>
      <c r="D37" s="642"/>
      <c r="E37" s="733"/>
      <c r="F37" s="734"/>
      <c r="G37" s="645" t="s">
        <v>628</v>
      </c>
      <c r="H37" s="645" t="s">
        <v>423</v>
      </c>
      <c r="I37" s="645" t="s">
        <v>506</v>
      </c>
      <c r="J37" s="258" t="s">
        <v>508</v>
      </c>
      <c r="K37" s="165"/>
    </row>
    <row r="38" spans="1:11" s="166" customFormat="1" ht="9" customHeight="1">
      <c r="A38" s="773"/>
      <c r="B38" s="773"/>
      <c r="C38" s="777"/>
      <c r="D38" s="779"/>
      <c r="E38" s="766"/>
      <c r="F38" s="767"/>
      <c r="G38" s="710"/>
      <c r="H38" s="710"/>
      <c r="I38" s="710"/>
      <c r="J38" s="259"/>
      <c r="K38" s="165"/>
    </row>
    <row r="39" spans="1:11" s="205" customFormat="1" ht="10.5" customHeight="1">
      <c r="A39" s="467">
        <v>1</v>
      </c>
      <c r="B39" s="467">
        <v>2</v>
      </c>
      <c r="C39" s="468">
        <v>3</v>
      </c>
      <c r="D39" s="467">
        <v>4</v>
      </c>
      <c r="E39" s="772">
        <v>5</v>
      </c>
      <c r="F39" s="772"/>
      <c r="G39" s="468">
        <v>6</v>
      </c>
      <c r="H39" s="468">
        <v>7</v>
      </c>
      <c r="I39" s="468">
        <v>8</v>
      </c>
      <c r="J39" s="482">
        <v>10</v>
      </c>
      <c r="K39" s="204"/>
    </row>
    <row r="40" spans="1:11" s="177" customFormat="1" ht="21" customHeight="1">
      <c r="A40" s="752" t="s">
        <v>231</v>
      </c>
      <c r="B40" s="727" t="s">
        <v>605</v>
      </c>
      <c r="C40" s="737" t="s">
        <v>511</v>
      </c>
      <c r="D40" s="728" t="s">
        <v>517</v>
      </c>
      <c r="E40" s="487" t="s">
        <v>623</v>
      </c>
      <c r="F40" s="489">
        <f>SUM(F41:F44)</f>
        <v>526000</v>
      </c>
      <c r="G40" s="190">
        <f>SUM(G41:G44)</f>
        <v>340000</v>
      </c>
      <c r="H40" s="473">
        <f>SUM(H41:H44)</f>
        <v>90000</v>
      </c>
      <c r="I40" s="190">
        <f>SUM(I41:I44)</f>
        <v>0</v>
      </c>
      <c r="J40" s="424"/>
      <c r="K40" s="176"/>
    </row>
    <row r="41" spans="1:11" s="177" customFormat="1" ht="15" customHeight="1">
      <c r="A41" s="753"/>
      <c r="B41" s="725"/>
      <c r="C41" s="738"/>
      <c r="D41" s="729"/>
      <c r="E41" s="470" t="s">
        <v>624</v>
      </c>
      <c r="F41" s="203">
        <f>G41+H41+I41+H41</f>
        <v>0</v>
      </c>
      <c r="G41" s="178"/>
      <c r="H41" s="203"/>
      <c r="I41" s="178"/>
      <c r="J41" s="424"/>
      <c r="K41" s="176"/>
    </row>
    <row r="42" spans="1:11" s="177" customFormat="1" ht="15" customHeight="1">
      <c r="A42" s="753"/>
      <c r="B42" s="725"/>
      <c r="C42" s="738"/>
      <c r="D42" s="729"/>
      <c r="E42" s="470" t="s">
        <v>625</v>
      </c>
      <c r="F42" s="203">
        <f>G42+H42+I42+H42+96000</f>
        <v>96000</v>
      </c>
      <c r="G42" s="178"/>
      <c r="H42" s="203"/>
      <c r="I42" s="178"/>
      <c r="J42" s="424"/>
      <c r="K42" s="176"/>
    </row>
    <row r="43" spans="1:11" s="177" customFormat="1" ht="15" customHeight="1">
      <c r="A43" s="753"/>
      <c r="B43" s="725"/>
      <c r="C43" s="738"/>
      <c r="D43" s="729"/>
      <c r="E43" s="470" t="s">
        <v>626</v>
      </c>
      <c r="F43" s="203">
        <f>G43+H43+I43</f>
        <v>430000</v>
      </c>
      <c r="G43" s="178">
        <v>340000</v>
      </c>
      <c r="H43" s="203">
        <v>90000</v>
      </c>
      <c r="I43" s="178"/>
      <c r="J43" s="424"/>
      <c r="K43" s="176"/>
    </row>
    <row r="44" spans="1:11" s="177" customFormat="1" ht="15" customHeight="1">
      <c r="A44" s="753"/>
      <c r="B44" s="726"/>
      <c r="C44" s="739"/>
      <c r="D44" s="730"/>
      <c r="E44" s="471" t="s">
        <v>627</v>
      </c>
      <c r="F44" s="203">
        <f>G44+H44+I44+H44</f>
        <v>0</v>
      </c>
      <c r="G44" s="479"/>
      <c r="H44" s="203"/>
      <c r="I44" s="479"/>
      <c r="J44" s="424"/>
      <c r="K44" s="176"/>
    </row>
    <row r="45" spans="1:11" s="177" customFormat="1" ht="21" customHeight="1">
      <c r="A45" s="753"/>
      <c r="B45" s="727" t="s">
        <v>632</v>
      </c>
      <c r="C45" s="737" t="s">
        <v>511</v>
      </c>
      <c r="D45" s="728" t="s">
        <v>456</v>
      </c>
      <c r="E45" s="487" t="s">
        <v>623</v>
      </c>
      <c r="F45" s="473">
        <f>SUM(F46:F49)</f>
        <v>1000000</v>
      </c>
      <c r="G45" s="190">
        <f>SUM(G46:G49)</f>
        <v>0</v>
      </c>
      <c r="H45" s="190">
        <f>SUM(H46:H49)</f>
        <v>0</v>
      </c>
      <c r="I45" s="190">
        <f>SUM(I46:I49)</f>
        <v>500000</v>
      </c>
      <c r="J45" s="424"/>
      <c r="K45" s="176"/>
    </row>
    <row r="46" spans="1:11" s="177" customFormat="1" ht="15" customHeight="1">
      <c r="A46" s="753"/>
      <c r="B46" s="725"/>
      <c r="C46" s="738"/>
      <c r="D46" s="729"/>
      <c r="E46" s="470" t="s">
        <v>624</v>
      </c>
      <c r="F46" s="203">
        <f>G46+H46+I46</f>
        <v>0</v>
      </c>
      <c r="G46" s="178"/>
      <c r="H46" s="178"/>
      <c r="I46" s="178"/>
      <c r="J46" s="424"/>
      <c r="K46" s="176"/>
    </row>
    <row r="47" spans="1:11" s="177" customFormat="1" ht="15" customHeight="1">
      <c r="A47" s="753"/>
      <c r="B47" s="725"/>
      <c r="C47" s="738"/>
      <c r="D47" s="729"/>
      <c r="E47" s="470" t="s">
        <v>625</v>
      </c>
      <c r="F47" s="203">
        <f>G47+H47+I47+I47</f>
        <v>800000</v>
      </c>
      <c r="G47" s="178"/>
      <c r="H47" s="178"/>
      <c r="I47" s="178">
        <v>400000</v>
      </c>
      <c r="J47" s="424"/>
      <c r="K47" s="176"/>
    </row>
    <row r="48" spans="1:11" s="177" customFormat="1" ht="15" customHeight="1">
      <c r="A48" s="753"/>
      <c r="B48" s="725"/>
      <c r="C48" s="738"/>
      <c r="D48" s="729"/>
      <c r="E48" s="470" t="s">
        <v>626</v>
      </c>
      <c r="F48" s="203">
        <f>G48+H48+I48+I48</f>
        <v>150000</v>
      </c>
      <c r="G48" s="178"/>
      <c r="H48" s="178"/>
      <c r="I48" s="178">
        <v>75000</v>
      </c>
      <c r="J48" s="424"/>
      <c r="K48" s="176"/>
    </row>
    <row r="49" spans="1:11" s="177" customFormat="1" ht="15" customHeight="1">
      <c r="A49" s="754"/>
      <c r="B49" s="725"/>
      <c r="C49" s="739"/>
      <c r="D49" s="730"/>
      <c r="E49" s="471" t="s">
        <v>627</v>
      </c>
      <c r="F49" s="203">
        <f>G49+H49+I49+I49</f>
        <v>50000</v>
      </c>
      <c r="G49" s="479"/>
      <c r="H49" s="479"/>
      <c r="I49" s="479">
        <v>25000</v>
      </c>
      <c r="J49" s="424"/>
      <c r="K49" s="176"/>
    </row>
    <row r="50" spans="1:11" s="177" customFormat="1" ht="20.25" customHeight="1">
      <c r="A50" s="744" t="s">
        <v>633</v>
      </c>
      <c r="B50" s="727" t="s">
        <v>673</v>
      </c>
      <c r="C50" s="747" t="s">
        <v>511</v>
      </c>
      <c r="D50" s="749">
        <v>2008</v>
      </c>
      <c r="E50" s="487" t="s">
        <v>623</v>
      </c>
      <c r="F50" s="473">
        <f>SUM(F51:F54)</f>
        <v>120000</v>
      </c>
      <c r="G50" s="190">
        <f>SUM(G51:G54)</f>
        <v>120000</v>
      </c>
      <c r="H50" s="473">
        <f>SUM(H51:H54)</f>
        <v>0</v>
      </c>
      <c r="I50" s="190">
        <f>SUM(I51:I54)</f>
        <v>0</v>
      </c>
      <c r="J50" s="464">
        <f>SUM(J51:J54)</f>
        <v>0</v>
      </c>
      <c r="K50" s="176"/>
    </row>
    <row r="51" spans="1:11" s="177" customFormat="1" ht="15" customHeight="1">
      <c r="A51" s="745"/>
      <c r="B51" s="725"/>
      <c r="C51" s="748"/>
      <c r="D51" s="750"/>
      <c r="E51" s="463" t="s">
        <v>624</v>
      </c>
      <c r="F51" s="203">
        <f>G51+H51+I51</f>
        <v>0</v>
      </c>
      <c r="G51" s="178"/>
      <c r="H51" s="203"/>
      <c r="I51" s="178"/>
      <c r="J51" s="424"/>
      <c r="K51" s="176"/>
    </row>
    <row r="52" spans="1:11" s="177" customFormat="1" ht="15" customHeight="1">
      <c r="A52" s="745"/>
      <c r="B52" s="725"/>
      <c r="C52" s="748"/>
      <c r="D52" s="750"/>
      <c r="E52" s="463" t="s">
        <v>625</v>
      </c>
      <c r="F52" s="203">
        <f>G52+H52+I52</f>
        <v>0</v>
      </c>
      <c r="G52" s="178"/>
      <c r="H52" s="203"/>
      <c r="I52" s="178"/>
      <c r="J52" s="424"/>
      <c r="K52" s="176"/>
    </row>
    <row r="53" spans="1:11" s="177" customFormat="1" ht="15" customHeight="1">
      <c r="A53" s="745"/>
      <c r="B53" s="725"/>
      <c r="C53" s="748"/>
      <c r="D53" s="750"/>
      <c r="E53" s="463" t="s">
        <v>626</v>
      </c>
      <c r="F53" s="203">
        <f>G53+H53+I53</f>
        <v>120000</v>
      </c>
      <c r="G53" s="178">
        <v>120000</v>
      </c>
      <c r="H53" s="203"/>
      <c r="I53" s="178"/>
      <c r="J53" s="424"/>
      <c r="K53" s="176"/>
    </row>
    <row r="54" spans="1:11" s="177" customFormat="1" ht="15" customHeight="1">
      <c r="A54" s="746"/>
      <c r="B54" s="726"/>
      <c r="C54" s="748"/>
      <c r="D54" s="751"/>
      <c r="E54" s="465" t="s">
        <v>627</v>
      </c>
      <c r="F54" s="472">
        <f>G54+H54+I54</f>
        <v>0</v>
      </c>
      <c r="G54" s="479"/>
      <c r="H54" s="203"/>
      <c r="I54" s="479"/>
      <c r="J54" s="424"/>
      <c r="K54" s="176"/>
    </row>
    <row r="55" spans="1:11" s="177" customFormat="1" ht="21" customHeight="1">
      <c r="A55" s="755" t="s">
        <v>635</v>
      </c>
      <c r="B55" s="727" t="s">
        <v>593</v>
      </c>
      <c r="C55" s="747" t="s">
        <v>511</v>
      </c>
      <c r="D55" s="749" t="s">
        <v>517</v>
      </c>
      <c r="E55" s="487" t="s">
        <v>623</v>
      </c>
      <c r="F55" s="473">
        <f>SUM(F56:F59)</f>
        <v>507000</v>
      </c>
      <c r="G55" s="190">
        <f>SUM(G56:G59)</f>
        <v>100000</v>
      </c>
      <c r="H55" s="473">
        <f>SUM(H56:H59)</f>
        <v>400000</v>
      </c>
      <c r="I55" s="190">
        <f>SUM(I56:I59)</f>
        <v>0</v>
      </c>
      <c r="J55" s="424"/>
      <c r="K55" s="176"/>
    </row>
    <row r="56" spans="1:11" s="177" customFormat="1" ht="15" customHeight="1">
      <c r="A56" s="756"/>
      <c r="B56" s="725"/>
      <c r="C56" s="748"/>
      <c r="D56" s="750"/>
      <c r="E56" s="463" t="s">
        <v>624</v>
      </c>
      <c r="F56" s="203">
        <f>G56+H56+I56</f>
        <v>0</v>
      </c>
      <c r="G56" s="178"/>
      <c r="H56" s="203"/>
      <c r="I56" s="178"/>
      <c r="J56" s="424"/>
      <c r="K56" s="176"/>
    </row>
    <row r="57" spans="1:11" s="177" customFormat="1" ht="15" customHeight="1">
      <c r="A57" s="756"/>
      <c r="B57" s="725"/>
      <c r="C57" s="748"/>
      <c r="D57" s="750"/>
      <c r="E57" s="463" t="s">
        <v>625</v>
      </c>
      <c r="F57" s="203">
        <f>G57+H57+I57+7000</f>
        <v>132000</v>
      </c>
      <c r="G57" s="178">
        <v>25000</v>
      </c>
      <c r="H57" s="203">
        <v>100000</v>
      </c>
      <c r="I57" s="178"/>
      <c r="J57" s="424"/>
      <c r="K57" s="176"/>
    </row>
    <row r="58" spans="1:11" s="177" customFormat="1" ht="15" customHeight="1">
      <c r="A58" s="756"/>
      <c r="B58" s="725"/>
      <c r="C58" s="748"/>
      <c r="D58" s="750"/>
      <c r="E58" s="463" t="s">
        <v>626</v>
      </c>
      <c r="F58" s="203">
        <f>G58+H58+I58</f>
        <v>375000</v>
      </c>
      <c r="G58" s="178">
        <v>75000</v>
      </c>
      <c r="H58" s="203">
        <v>300000</v>
      </c>
      <c r="I58" s="178"/>
      <c r="J58" s="424"/>
      <c r="K58" s="176"/>
    </row>
    <row r="59" spans="1:11" s="177" customFormat="1" ht="15" customHeight="1">
      <c r="A59" s="756"/>
      <c r="B59" s="726"/>
      <c r="C59" s="748"/>
      <c r="D59" s="751"/>
      <c r="E59" s="465" t="s">
        <v>627</v>
      </c>
      <c r="F59" s="472">
        <f>G59+H59+I59</f>
        <v>0</v>
      </c>
      <c r="G59" s="479"/>
      <c r="H59" s="203"/>
      <c r="I59" s="479"/>
      <c r="J59" s="424"/>
      <c r="K59" s="176"/>
    </row>
    <row r="60" spans="1:11" s="177" customFormat="1" ht="20.25" customHeight="1">
      <c r="A60" s="756"/>
      <c r="B60" s="727" t="s">
        <v>594</v>
      </c>
      <c r="C60" s="747" t="s">
        <v>511</v>
      </c>
      <c r="D60" s="749" t="s">
        <v>456</v>
      </c>
      <c r="E60" s="487" t="s">
        <v>623</v>
      </c>
      <c r="F60" s="473">
        <f>SUM(F61:F64)</f>
        <v>440000</v>
      </c>
      <c r="G60" s="190">
        <f>SUM(G61:G64)</f>
        <v>400000</v>
      </c>
      <c r="H60" s="190">
        <f>SUM(H61:H64)</f>
        <v>0</v>
      </c>
      <c r="I60" s="190">
        <f>SUM(I61:I64)</f>
        <v>0</v>
      </c>
      <c r="J60" s="203"/>
      <c r="K60" s="176"/>
    </row>
    <row r="61" spans="1:11" s="177" customFormat="1" ht="15" customHeight="1">
      <c r="A61" s="756"/>
      <c r="B61" s="725"/>
      <c r="C61" s="748"/>
      <c r="D61" s="750"/>
      <c r="E61" s="463" t="s">
        <v>624</v>
      </c>
      <c r="F61" s="203">
        <f>G61+H61+I61</f>
        <v>0</v>
      </c>
      <c r="G61" s="178"/>
      <c r="H61" s="178"/>
      <c r="I61" s="178"/>
      <c r="J61" s="424"/>
      <c r="K61" s="176"/>
    </row>
    <row r="62" spans="1:11" s="177" customFormat="1" ht="15" customHeight="1">
      <c r="A62" s="756"/>
      <c r="B62" s="725"/>
      <c r="C62" s="748"/>
      <c r="D62" s="750"/>
      <c r="E62" s="463" t="s">
        <v>625</v>
      </c>
      <c r="F62" s="203">
        <f>G62+H62+I62+40000</f>
        <v>60000</v>
      </c>
      <c r="G62" s="178">
        <v>20000</v>
      </c>
      <c r="H62" s="178"/>
      <c r="I62" s="178"/>
      <c r="J62" s="424"/>
      <c r="K62" s="176"/>
    </row>
    <row r="63" spans="1:11" s="177" customFormat="1" ht="15" customHeight="1">
      <c r="A63" s="756"/>
      <c r="B63" s="725"/>
      <c r="C63" s="748"/>
      <c r="D63" s="750"/>
      <c r="E63" s="463" t="s">
        <v>626</v>
      </c>
      <c r="F63" s="203">
        <f>G63+H63+I63</f>
        <v>360000</v>
      </c>
      <c r="G63" s="178">
        <v>360000</v>
      </c>
      <c r="H63" s="178"/>
      <c r="I63" s="178"/>
      <c r="J63" s="424"/>
      <c r="K63" s="176"/>
    </row>
    <row r="64" spans="1:11" s="177" customFormat="1" ht="15" customHeight="1">
      <c r="A64" s="757"/>
      <c r="B64" s="726"/>
      <c r="C64" s="748"/>
      <c r="D64" s="751"/>
      <c r="E64" s="465" t="s">
        <v>627</v>
      </c>
      <c r="F64" s="472">
        <f>G64+H64+I64</f>
        <v>20000</v>
      </c>
      <c r="G64" s="479">
        <v>20000</v>
      </c>
      <c r="H64" s="479"/>
      <c r="I64" s="479"/>
      <c r="J64" s="424"/>
      <c r="K64" s="176"/>
    </row>
    <row r="65" spans="1:11" s="177" customFormat="1" ht="21" customHeight="1">
      <c r="A65" s="756" t="s">
        <v>636</v>
      </c>
      <c r="B65" s="725" t="s">
        <v>592</v>
      </c>
      <c r="C65" s="774" t="s">
        <v>457</v>
      </c>
      <c r="D65" s="749" t="s">
        <v>517</v>
      </c>
      <c r="E65" s="487" t="s">
        <v>623</v>
      </c>
      <c r="F65" s="473">
        <f>SUM(F66:F69)</f>
        <v>500000</v>
      </c>
      <c r="G65" s="190">
        <f>SUM(G66:G66)</f>
        <v>0</v>
      </c>
      <c r="H65" s="190">
        <f>SUM(H66:H66)</f>
        <v>0</v>
      </c>
      <c r="I65" s="190">
        <f>SUM(I66:I66)</f>
        <v>0</v>
      </c>
      <c r="J65" s="473"/>
      <c r="K65" s="176"/>
    </row>
    <row r="66" spans="1:11" s="177" customFormat="1" ht="15" customHeight="1">
      <c r="A66" s="756"/>
      <c r="B66" s="725"/>
      <c r="C66" s="775"/>
      <c r="D66" s="750"/>
      <c r="E66" s="463" t="s">
        <v>624</v>
      </c>
      <c r="F66" s="203">
        <f>G66+H66+I66</f>
        <v>0</v>
      </c>
      <c r="G66" s="178"/>
      <c r="H66" s="178"/>
      <c r="I66" s="178"/>
      <c r="J66" s="424"/>
      <c r="K66" s="176"/>
    </row>
    <row r="67" spans="1:11" s="177" customFormat="1" ht="15" customHeight="1">
      <c r="A67" s="756"/>
      <c r="B67" s="725"/>
      <c r="C67" s="775"/>
      <c r="D67" s="750"/>
      <c r="E67" s="463" t="s">
        <v>625</v>
      </c>
      <c r="F67" s="203">
        <f>G67+H67+I67+5000</f>
        <v>5000</v>
      </c>
      <c r="G67" s="178"/>
      <c r="H67" s="178"/>
      <c r="I67" s="178"/>
      <c r="J67" s="424"/>
      <c r="K67" s="176"/>
    </row>
    <row r="68" spans="1:11" s="177" customFormat="1" ht="15" customHeight="1">
      <c r="A68" s="756"/>
      <c r="B68" s="725"/>
      <c r="C68" s="775"/>
      <c r="D68" s="750"/>
      <c r="E68" s="463" t="s">
        <v>626</v>
      </c>
      <c r="F68" s="203">
        <f>G68+H68+I68</f>
        <v>495000</v>
      </c>
      <c r="G68" s="178">
        <v>225000</v>
      </c>
      <c r="H68" s="178">
        <v>270000</v>
      </c>
      <c r="I68" s="178"/>
      <c r="J68" s="424"/>
      <c r="K68" s="176"/>
    </row>
    <row r="69" spans="1:11" s="177" customFormat="1" ht="15" customHeight="1">
      <c r="A69" s="757"/>
      <c r="B69" s="726"/>
      <c r="C69" s="776"/>
      <c r="D69" s="751"/>
      <c r="E69" s="465" t="s">
        <v>627</v>
      </c>
      <c r="F69" s="472">
        <f>G69+H69+I69</f>
        <v>0</v>
      </c>
      <c r="G69" s="479"/>
      <c r="H69" s="479"/>
      <c r="I69" s="479"/>
      <c r="J69" s="424"/>
      <c r="K69" s="176"/>
    </row>
    <row r="70" spans="1:12" s="163" customFormat="1" ht="10.5" customHeight="1" thickBot="1">
      <c r="A70" s="483"/>
      <c r="B70" s="484"/>
      <c r="C70" s="484"/>
      <c r="D70" s="484"/>
      <c r="E70" s="484"/>
      <c r="F70" s="484"/>
      <c r="G70" s="484"/>
      <c r="H70" s="484"/>
      <c r="I70" s="484"/>
      <c r="J70" s="484"/>
      <c r="K70" s="485"/>
      <c r="L70" s="486"/>
    </row>
    <row r="71" spans="1:11" s="166" customFormat="1" ht="14.25" customHeight="1">
      <c r="A71" s="706" t="s">
        <v>614</v>
      </c>
      <c r="B71" s="706" t="s">
        <v>148</v>
      </c>
      <c r="C71" s="693" t="s">
        <v>634</v>
      </c>
      <c r="D71" s="778" t="s">
        <v>615</v>
      </c>
      <c r="E71" s="764" t="s">
        <v>616</v>
      </c>
      <c r="F71" s="765"/>
      <c r="G71" s="768" t="s">
        <v>629</v>
      </c>
      <c r="H71" s="769"/>
      <c r="I71" s="770"/>
      <c r="J71" s="260"/>
      <c r="K71" s="165"/>
    </row>
    <row r="72" spans="1:11" s="166" customFormat="1" ht="14.25" customHeight="1">
      <c r="A72" s="644"/>
      <c r="B72" s="644"/>
      <c r="C72" s="741"/>
      <c r="D72" s="642"/>
      <c r="E72" s="733"/>
      <c r="F72" s="734"/>
      <c r="G72" s="761"/>
      <c r="H72" s="762"/>
      <c r="I72" s="771"/>
      <c r="J72" s="269"/>
      <c r="K72" s="165"/>
    </row>
    <row r="73" spans="1:11" s="166" customFormat="1" ht="9.75" customHeight="1">
      <c r="A73" s="644"/>
      <c r="B73" s="644"/>
      <c r="C73" s="741"/>
      <c r="D73" s="642"/>
      <c r="E73" s="733"/>
      <c r="F73" s="734"/>
      <c r="G73" s="645" t="s">
        <v>628</v>
      </c>
      <c r="H73" s="645" t="s">
        <v>423</v>
      </c>
      <c r="I73" s="645" t="s">
        <v>506</v>
      </c>
      <c r="J73" s="258" t="s">
        <v>508</v>
      </c>
      <c r="K73" s="165"/>
    </row>
    <row r="74" spans="1:11" s="166" customFormat="1" ht="9" customHeight="1">
      <c r="A74" s="773"/>
      <c r="B74" s="773"/>
      <c r="C74" s="777"/>
      <c r="D74" s="779"/>
      <c r="E74" s="766"/>
      <c r="F74" s="767"/>
      <c r="G74" s="710"/>
      <c r="H74" s="710"/>
      <c r="I74" s="710"/>
      <c r="J74" s="259"/>
      <c r="K74" s="165"/>
    </row>
    <row r="75" spans="1:11" s="205" customFormat="1" ht="10.5" customHeight="1">
      <c r="A75" s="467">
        <v>1</v>
      </c>
      <c r="B75" s="467">
        <v>2</v>
      </c>
      <c r="C75" s="468">
        <v>3</v>
      </c>
      <c r="D75" s="467">
        <v>4</v>
      </c>
      <c r="E75" s="772">
        <v>5</v>
      </c>
      <c r="F75" s="772"/>
      <c r="G75" s="468">
        <v>6</v>
      </c>
      <c r="H75" s="468">
        <v>7</v>
      </c>
      <c r="I75" s="468">
        <v>8</v>
      </c>
      <c r="J75" s="482">
        <v>10</v>
      </c>
      <c r="K75" s="204"/>
    </row>
    <row r="76" spans="1:11" s="177" customFormat="1" ht="21" customHeight="1" thickBot="1">
      <c r="A76" s="755" t="s">
        <v>637</v>
      </c>
      <c r="B76" s="727" t="s">
        <v>565</v>
      </c>
      <c r="C76" s="774" t="s">
        <v>457</v>
      </c>
      <c r="D76" s="749" t="s">
        <v>456</v>
      </c>
      <c r="E76" s="487" t="s">
        <v>623</v>
      </c>
      <c r="F76" s="473">
        <f>SUM(F77:F80)</f>
        <v>2900000</v>
      </c>
      <c r="G76" s="190">
        <f>SUM(G77:G80)</f>
        <v>2808000</v>
      </c>
      <c r="H76" s="190">
        <f>SUM(H77:H80)</f>
        <v>0</v>
      </c>
      <c r="I76" s="190">
        <f>SUM(I77:I80)</f>
        <v>0</v>
      </c>
      <c r="J76" s="474"/>
      <c r="K76" s="176"/>
    </row>
    <row r="77" spans="1:11" s="177" customFormat="1" ht="15" customHeight="1">
      <c r="A77" s="756"/>
      <c r="B77" s="725"/>
      <c r="C77" s="775"/>
      <c r="D77" s="750"/>
      <c r="E77" s="463" t="s">
        <v>624</v>
      </c>
      <c r="F77" s="203">
        <f>G77+H77+I77</f>
        <v>2465000</v>
      </c>
      <c r="G77" s="178">
        <v>2465000</v>
      </c>
      <c r="H77" s="178"/>
      <c r="I77" s="178"/>
      <c r="J77" s="424"/>
      <c r="K77" s="176"/>
    </row>
    <row r="78" spans="1:11" s="177" customFormat="1" ht="15" customHeight="1">
      <c r="A78" s="756"/>
      <c r="B78" s="725"/>
      <c r="C78" s="775"/>
      <c r="D78" s="750"/>
      <c r="E78" s="463" t="s">
        <v>625</v>
      </c>
      <c r="F78" s="203">
        <f>G78+H78+I78+92000</f>
        <v>95000</v>
      </c>
      <c r="G78" s="178">
        <v>3000</v>
      </c>
      <c r="H78" s="178"/>
      <c r="I78" s="178"/>
      <c r="J78" s="424"/>
      <c r="K78" s="176"/>
    </row>
    <row r="79" spans="1:11" s="177" customFormat="1" ht="15" customHeight="1">
      <c r="A79" s="756"/>
      <c r="B79" s="725"/>
      <c r="C79" s="775"/>
      <c r="D79" s="750"/>
      <c r="E79" s="463" t="s">
        <v>626</v>
      </c>
      <c r="F79" s="203">
        <f>G79+H79+I79</f>
        <v>340000</v>
      </c>
      <c r="G79" s="178">
        <v>340000</v>
      </c>
      <c r="H79" s="178"/>
      <c r="I79" s="178"/>
      <c r="J79" s="424"/>
      <c r="K79" s="176"/>
    </row>
    <row r="80" spans="1:11" s="177" customFormat="1" ht="15" customHeight="1">
      <c r="A80" s="757"/>
      <c r="B80" s="726"/>
      <c r="C80" s="776"/>
      <c r="D80" s="751"/>
      <c r="E80" s="465" t="s">
        <v>627</v>
      </c>
      <c r="F80" s="472">
        <f>G80+H80+I80</f>
        <v>0</v>
      </c>
      <c r="G80" s="479"/>
      <c r="H80" s="479"/>
      <c r="I80" s="479"/>
      <c r="J80" s="424"/>
      <c r="K80" s="176"/>
    </row>
    <row r="81" spans="1:11" s="177" customFormat="1" ht="20.25" customHeight="1">
      <c r="A81" s="755" t="s">
        <v>638</v>
      </c>
      <c r="B81" s="727" t="s">
        <v>639</v>
      </c>
      <c r="C81" s="774" t="s">
        <v>457</v>
      </c>
      <c r="D81" s="749" t="s">
        <v>536</v>
      </c>
      <c r="E81" s="487" t="s">
        <v>623</v>
      </c>
      <c r="F81" s="473">
        <f>SUM(F82:F85)</f>
        <v>1300000</v>
      </c>
      <c r="G81" s="190">
        <f>SUM(G82:G85)</f>
        <v>200000</v>
      </c>
      <c r="H81" s="473">
        <f>SUM(H82:H85)</f>
        <v>300000</v>
      </c>
      <c r="I81" s="190">
        <f>SUM(I82:I85)</f>
        <v>300000</v>
      </c>
      <c r="J81" s="424"/>
      <c r="K81" s="176"/>
    </row>
    <row r="82" spans="1:11" s="177" customFormat="1" ht="15" customHeight="1">
      <c r="A82" s="756"/>
      <c r="B82" s="725"/>
      <c r="C82" s="775"/>
      <c r="D82" s="750"/>
      <c r="E82" s="463" t="s">
        <v>624</v>
      </c>
      <c r="F82" s="203">
        <f>G82+H82+I82+400000</f>
        <v>1000000</v>
      </c>
      <c r="G82" s="178">
        <v>150000</v>
      </c>
      <c r="H82" s="203">
        <v>200000</v>
      </c>
      <c r="I82" s="178">
        <v>250000</v>
      </c>
      <c r="J82" s="424"/>
      <c r="K82" s="176"/>
    </row>
    <row r="83" spans="1:11" s="177" customFormat="1" ht="15" customHeight="1">
      <c r="A83" s="756"/>
      <c r="B83" s="725"/>
      <c r="C83" s="775"/>
      <c r="D83" s="750"/>
      <c r="E83" s="463" t="s">
        <v>625</v>
      </c>
      <c r="F83" s="203">
        <f>G83+H83+I83+5000+15000</f>
        <v>60000</v>
      </c>
      <c r="G83" s="178">
        <v>10000</v>
      </c>
      <c r="H83" s="203">
        <v>25000</v>
      </c>
      <c r="I83" s="178">
        <v>5000</v>
      </c>
      <c r="J83" s="424"/>
      <c r="K83" s="176"/>
    </row>
    <row r="84" spans="1:11" s="177" customFormat="1" ht="15" customHeight="1">
      <c r="A84" s="756"/>
      <c r="B84" s="725"/>
      <c r="C84" s="775"/>
      <c r="D84" s="750"/>
      <c r="E84" s="463" t="s">
        <v>626</v>
      </c>
      <c r="F84" s="203">
        <f>G84+H84+I84+40000</f>
        <v>90000</v>
      </c>
      <c r="G84" s="178">
        <v>10000</v>
      </c>
      <c r="H84" s="203">
        <v>25000</v>
      </c>
      <c r="I84" s="178">
        <v>15000</v>
      </c>
      <c r="J84" s="424"/>
      <c r="K84" s="176"/>
    </row>
    <row r="85" spans="1:11" s="177" customFormat="1" ht="15" customHeight="1">
      <c r="A85" s="756"/>
      <c r="B85" s="726"/>
      <c r="C85" s="776"/>
      <c r="D85" s="751"/>
      <c r="E85" s="465" t="s">
        <v>627</v>
      </c>
      <c r="F85" s="472">
        <f>G85+H85+I85+40000</f>
        <v>150000</v>
      </c>
      <c r="G85" s="479">
        <v>30000</v>
      </c>
      <c r="H85" s="203">
        <v>50000</v>
      </c>
      <c r="I85" s="479">
        <v>30000</v>
      </c>
      <c r="J85" s="424"/>
      <c r="K85" s="176"/>
    </row>
    <row r="86" spans="1:11" s="177" customFormat="1" ht="20.25" customHeight="1">
      <c r="A86" s="756"/>
      <c r="B86" s="727" t="s">
        <v>640</v>
      </c>
      <c r="C86" s="774" t="s">
        <v>457</v>
      </c>
      <c r="D86" s="749">
        <v>2009</v>
      </c>
      <c r="E86" s="487" t="s">
        <v>623</v>
      </c>
      <c r="F86" s="473">
        <f>SUM(F87:F90)</f>
        <v>300000</v>
      </c>
      <c r="G86" s="190">
        <f>SUM(G87:G90)</f>
        <v>0</v>
      </c>
      <c r="H86" s="473">
        <f>SUM(H87:H90)</f>
        <v>300000</v>
      </c>
      <c r="I86" s="190">
        <f>SUM(I87:I90)</f>
        <v>0</v>
      </c>
      <c r="J86" s="424"/>
      <c r="K86" s="176"/>
    </row>
    <row r="87" spans="1:11" s="177" customFormat="1" ht="15" customHeight="1">
      <c r="A87" s="756"/>
      <c r="B87" s="725"/>
      <c r="C87" s="775"/>
      <c r="D87" s="750"/>
      <c r="E87" s="463" t="s">
        <v>624</v>
      </c>
      <c r="F87" s="203">
        <f>G87+H87+I87</f>
        <v>225000</v>
      </c>
      <c r="G87" s="178"/>
      <c r="H87" s="203">
        <v>225000</v>
      </c>
      <c r="I87" s="178"/>
      <c r="J87" s="424"/>
      <c r="K87" s="176"/>
    </row>
    <row r="88" spans="1:11" s="177" customFormat="1" ht="15" customHeight="1">
      <c r="A88" s="756"/>
      <c r="B88" s="725"/>
      <c r="C88" s="775"/>
      <c r="D88" s="750"/>
      <c r="E88" s="463" t="s">
        <v>625</v>
      </c>
      <c r="F88" s="203">
        <f>G88+H88+I88</f>
        <v>75000</v>
      </c>
      <c r="G88" s="178"/>
      <c r="H88" s="203">
        <v>75000</v>
      </c>
      <c r="I88" s="178"/>
      <c r="J88" s="424"/>
      <c r="K88" s="176"/>
    </row>
    <row r="89" spans="1:11" s="177" customFormat="1" ht="15" customHeight="1">
      <c r="A89" s="756"/>
      <c r="B89" s="725"/>
      <c r="C89" s="775"/>
      <c r="D89" s="750"/>
      <c r="E89" s="463" t="s">
        <v>626</v>
      </c>
      <c r="F89" s="203">
        <f>G89+H89+I89</f>
        <v>0</v>
      </c>
      <c r="G89" s="178"/>
      <c r="H89" s="203"/>
      <c r="I89" s="178"/>
      <c r="J89" s="424"/>
      <c r="K89" s="176"/>
    </row>
    <row r="90" spans="1:11" s="177" customFormat="1" ht="15" customHeight="1">
      <c r="A90" s="756"/>
      <c r="B90" s="726"/>
      <c r="C90" s="776"/>
      <c r="D90" s="751"/>
      <c r="E90" s="465" t="s">
        <v>627</v>
      </c>
      <c r="F90" s="472">
        <f>G90+H90+I90</f>
        <v>0</v>
      </c>
      <c r="G90" s="479"/>
      <c r="H90" s="203"/>
      <c r="I90" s="479"/>
      <c r="J90" s="424"/>
      <c r="K90" s="176"/>
    </row>
    <row r="91" spans="1:11" s="177" customFormat="1" ht="20.25" customHeight="1">
      <c r="A91" s="756"/>
      <c r="B91" s="727" t="s">
        <v>641</v>
      </c>
      <c r="C91" s="774" t="s">
        <v>457</v>
      </c>
      <c r="D91" s="749">
        <v>2010</v>
      </c>
      <c r="E91" s="487" t="s">
        <v>623</v>
      </c>
      <c r="F91" s="473">
        <f>SUM(F92:F95)</f>
        <v>300000</v>
      </c>
      <c r="G91" s="190">
        <f>SUM(G92:G95)</f>
        <v>0</v>
      </c>
      <c r="H91" s="473">
        <f>SUM(H92:H95)</f>
        <v>0</v>
      </c>
      <c r="I91" s="190">
        <f>SUM(I92:I95)</f>
        <v>300000</v>
      </c>
      <c r="J91" s="424"/>
      <c r="K91" s="176"/>
    </row>
    <row r="92" spans="1:11" s="177" customFormat="1" ht="15" customHeight="1">
      <c r="A92" s="756"/>
      <c r="B92" s="725"/>
      <c r="C92" s="775"/>
      <c r="D92" s="750"/>
      <c r="E92" s="463" t="s">
        <v>624</v>
      </c>
      <c r="F92" s="203">
        <f>G92+H92+I92</f>
        <v>0</v>
      </c>
      <c r="G92" s="178"/>
      <c r="H92" s="203"/>
      <c r="I92" s="178"/>
      <c r="J92" s="424"/>
      <c r="K92" s="176"/>
    </row>
    <row r="93" spans="1:11" s="177" customFormat="1" ht="15" customHeight="1">
      <c r="A93" s="756"/>
      <c r="B93" s="725"/>
      <c r="C93" s="775"/>
      <c r="D93" s="750"/>
      <c r="E93" s="463" t="s">
        <v>625</v>
      </c>
      <c r="F93" s="203">
        <f>G93+H93+I93</f>
        <v>60000</v>
      </c>
      <c r="G93" s="178"/>
      <c r="H93" s="203"/>
      <c r="I93" s="178">
        <v>60000</v>
      </c>
      <c r="J93" s="424"/>
      <c r="K93" s="176"/>
    </row>
    <row r="94" spans="1:11" s="177" customFormat="1" ht="15" customHeight="1">
      <c r="A94" s="756"/>
      <c r="B94" s="725"/>
      <c r="C94" s="775"/>
      <c r="D94" s="750"/>
      <c r="E94" s="463" t="s">
        <v>626</v>
      </c>
      <c r="F94" s="203">
        <f>G94+H94+I94</f>
        <v>0</v>
      </c>
      <c r="G94" s="178"/>
      <c r="H94" s="203"/>
      <c r="I94" s="178"/>
      <c r="J94" s="424"/>
      <c r="K94" s="176"/>
    </row>
    <row r="95" spans="1:11" s="177" customFormat="1" ht="15" customHeight="1">
      <c r="A95" s="756"/>
      <c r="B95" s="726"/>
      <c r="C95" s="776"/>
      <c r="D95" s="751"/>
      <c r="E95" s="465" t="s">
        <v>627</v>
      </c>
      <c r="F95" s="472">
        <f>G95+H95+I95</f>
        <v>240000</v>
      </c>
      <c r="G95" s="479"/>
      <c r="H95" s="203"/>
      <c r="I95" s="479">
        <v>240000</v>
      </c>
      <c r="J95" s="424"/>
      <c r="K95" s="176"/>
    </row>
    <row r="96" spans="1:11" s="177" customFormat="1" ht="20.25" customHeight="1">
      <c r="A96" s="756"/>
      <c r="B96" s="727" t="s">
        <v>645</v>
      </c>
      <c r="C96" s="774" t="s">
        <v>457</v>
      </c>
      <c r="D96" s="749">
        <v>2010</v>
      </c>
      <c r="E96" s="487" t="s">
        <v>623</v>
      </c>
      <c r="F96" s="473">
        <f>SUM(F97:F100)</f>
        <v>1000000</v>
      </c>
      <c r="G96" s="190">
        <f>SUM(G97:G100)</f>
        <v>0</v>
      </c>
      <c r="H96" s="473">
        <f>SUM(H97:H100)</f>
        <v>0</v>
      </c>
      <c r="I96" s="190">
        <f>SUM(I97:I100)</f>
        <v>1000000</v>
      </c>
      <c r="J96" s="424"/>
      <c r="K96" s="176"/>
    </row>
    <row r="97" spans="1:11" s="177" customFormat="1" ht="15" customHeight="1">
      <c r="A97" s="756"/>
      <c r="B97" s="725"/>
      <c r="C97" s="775"/>
      <c r="D97" s="750"/>
      <c r="E97" s="463" t="s">
        <v>624</v>
      </c>
      <c r="F97" s="203">
        <f>G97+H97+I97</f>
        <v>850000</v>
      </c>
      <c r="G97" s="178"/>
      <c r="H97" s="203"/>
      <c r="I97" s="178">
        <v>850000</v>
      </c>
      <c r="J97" s="424"/>
      <c r="K97" s="176"/>
    </row>
    <row r="98" spans="1:11" s="177" customFormat="1" ht="15" customHeight="1">
      <c r="A98" s="756"/>
      <c r="B98" s="725"/>
      <c r="C98" s="775"/>
      <c r="D98" s="750"/>
      <c r="E98" s="463" t="s">
        <v>625</v>
      </c>
      <c r="F98" s="203">
        <f>G98+H98+I98</f>
        <v>110000</v>
      </c>
      <c r="G98" s="178"/>
      <c r="H98" s="203"/>
      <c r="I98" s="178">
        <v>110000</v>
      </c>
      <c r="J98" s="424"/>
      <c r="K98" s="176"/>
    </row>
    <row r="99" spans="1:11" s="177" customFormat="1" ht="15" customHeight="1">
      <c r="A99" s="756"/>
      <c r="B99" s="725"/>
      <c r="C99" s="775"/>
      <c r="D99" s="750"/>
      <c r="E99" s="463" t="s">
        <v>626</v>
      </c>
      <c r="F99" s="203">
        <f>G99+H99+I99</f>
        <v>40000</v>
      </c>
      <c r="G99" s="178"/>
      <c r="H99" s="203"/>
      <c r="I99" s="178">
        <v>40000</v>
      </c>
      <c r="J99" s="424"/>
      <c r="K99" s="176"/>
    </row>
    <row r="100" spans="1:11" s="177" customFormat="1" ht="15" customHeight="1">
      <c r="A100" s="756"/>
      <c r="B100" s="726"/>
      <c r="C100" s="776"/>
      <c r="D100" s="751"/>
      <c r="E100" s="465" t="s">
        <v>627</v>
      </c>
      <c r="F100" s="472">
        <f>G100+H100+I100</f>
        <v>0</v>
      </c>
      <c r="G100" s="479"/>
      <c r="H100" s="203"/>
      <c r="I100" s="479"/>
      <c r="J100" s="424"/>
      <c r="K100" s="176"/>
    </row>
    <row r="101" spans="1:11" s="177" customFormat="1" ht="20.25" customHeight="1">
      <c r="A101" s="756"/>
      <c r="B101" s="727" t="s">
        <v>642</v>
      </c>
      <c r="C101" s="774" t="s">
        <v>457</v>
      </c>
      <c r="D101" s="749">
        <v>2009</v>
      </c>
      <c r="E101" s="487" t="s">
        <v>623</v>
      </c>
      <c r="F101" s="473">
        <f>SUM(F102:F105)</f>
        <v>1600000</v>
      </c>
      <c r="G101" s="190">
        <f>SUM(G102:G105)</f>
        <v>0</v>
      </c>
      <c r="H101" s="473">
        <f>SUM(H102:H105)</f>
        <v>1600000</v>
      </c>
      <c r="I101" s="190">
        <f>SUM(I102:I105)</f>
        <v>0</v>
      </c>
      <c r="J101" s="424"/>
      <c r="K101" s="176"/>
    </row>
    <row r="102" spans="1:11" s="177" customFormat="1" ht="15" customHeight="1">
      <c r="A102" s="756"/>
      <c r="B102" s="725"/>
      <c r="C102" s="775"/>
      <c r="D102" s="750"/>
      <c r="E102" s="463" t="s">
        <v>624</v>
      </c>
      <c r="F102" s="203">
        <f>G102+H102+I102</f>
        <v>1360000</v>
      </c>
      <c r="G102" s="178"/>
      <c r="H102" s="203">
        <v>1360000</v>
      </c>
      <c r="I102" s="178"/>
      <c r="J102" s="424"/>
      <c r="K102" s="176"/>
    </row>
    <row r="103" spans="1:11" s="177" customFormat="1" ht="15" customHeight="1">
      <c r="A103" s="756"/>
      <c r="B103" s="725"/>
      <c r="C103" s="775"/>
      <c r="D103" s="750"/>
      <c r="E103" s="463" t="s">
        <v>625</v>
      </c>
      <c r="F103" s="203">
        <f>G103+H103+I103</f>
        <v>100000</v>
      </c>
      <c r="G103" s="178"/>
      <c r="H103" s="203">
        <v>100000</v>
      </c>
      <c r="I103" s="178"/>
      <c r="J103" s="424"/>
      <c r="K103" s="176"/>
    </row>
    <row r="104" spans="1:11" s="177" customFormat="1" ht="15" customHeight="1">
      <c r="A104" s="756"/>
      <c r="B104" s="725"/>
      <c r="C104" s="775"/>
      <c r="D104" s="750"/>
      <c r="E104" s="463" t="s">
        <v>626</v>
      </c>
      <c r="F104" s="203">
        <f>G104+H104+I104</f>
        <v>140000</v>
      </c>
      <c r="G104" s="178"/>
      <c r="H104" s="203">
        <v>140000</v>
      </c>
      <c r="I104" s="178"/>
      <c r="J104" s="424"/>
      <c r="K104" s="176"/>
    </row>
    <row r="105" spans="1:11" s="177" customFormat="1" ht="15" customHeight="1">
      <c r="A105" s="757"/>
      <c r="B105" s="726"/>
      <c r="C105" s="776"/>
      <c r="D105" s="751"/>
      <c r="E105" s="465" t="s">
        <v>627</v>
      </c>
      <c r="F105" s="472">
        <f>G105+H105+I105</f>
        <v>0</v>
      </c>
      <c r="G105" s="479"/>
      <c r="H105" s="472"/>
      <c r="I105" s="479"/>
      <c r="J105" s="424"/>
      <c r="K105" s="176"/>
    </row>
    <row r="106" spans="1:12" s="163" customFormat="1" ht="10.5" customHeight="1" thickBot="1">
      <c r="A106" s="483"/>
      <c r="B106" s="484"/>
      <c r="C106" s="484"/>
      <c r="D106" s="484"/>
      <c r="E106" s="484"/>
      <c r="F106" s="484"/>
      <c r="G106" s="484"/>
      <c r="H106" s="484"/>
      <c r="I106" s="484"/>
      <c r="J106" s="484"/>
      <c r="K106" s="485"/>
      <c r="L106" s="486"/>
    </row>
    <row r="107" spans="1:11" s="166" customFormat="1" ht="14.25" customHeight="1">
      <c r="A107" s="706" t="s">
        <v>614</v>
      </c>
      <c r="B107" s="706" t="s">
        <v>148</v>
      </c>
      <c r="C107" s="693" t="s">
        <v>634</v>
      </c>
      <c r="D107" s="778" t="s">
        <v>615</v>
      </c>
      <c r="E107" s="764" t="s">
        <v>616</v>
      </c>
      <c r="F107" s="765"/>
      <c r="G107" s="768" t="s">
        <v>629</v>
      </c>
      <c r="H107" s="769"/>
      <c r="I107" s="770"/>
      <c r="J107" s="260"/>
      <c r="K107" s="165"/>
    </row>
    <row r="108" spans="1:11" s="166" customFormat="1" ht="14.25" customHeight="1">
      <c r="A108" s="644"/>
      <c r="B108" s="644"/>
      <c r="C108" s="741"/>
      <c r="D108" s="642"/>
      <c r="E108" s="733"/>
      <c r="F108" s="734"/>
      <c r="G108" s="761"/>
      <c r="H108" s="762"/>
      <c r="I108" s="771"/>
      <c r="J108" s="269"/>
      <c r="K108" s="165"/>
    </row>
    <row r="109" spans="1:11" s="166" customFormat="1" ht="9.75" customHeight="1">
      <c r="A109" s="644"/>
      <c r="B109" s="644"/>
      <c r="C109" s="741"/>
      <c r="D109" s="642"/>
      <c r="E109" s="733"/>
      <c r="F109" s="734"/>
      <c r="G109" s="645" t="s">
        <v>628</v>
      </c>
      <c r="H109" s="645" t="s">
        <v>423</v>
      </c>
      <c r="I109" s="645" t="s">
        <v>506</v>
      </c>
      <c r="J109" s="258" t="s">
        <v>508</v>
      </c>
      <c r="K109" s="165"/>
    </row>
    <row r="110" spans="1:11" s="166" customFormat="1" ht="9" customHeight="1">
      <c r="A110" s="773"/>
      <c r="B110" s="773"/>
      <c r="C110" s="777"/>
      <c r="D110" s="779"/>
      <c r="E110" s="766"/>
      <c r="F110" s="767"/>
      <c r="G110" s="710"/>
      <c r="H110" s="710"/>
      <c r="I110" s="710"/>
      <c r="J110" s="259"/>
      <c r="K110" s="165"/>
    </row>
    <row r="111" spans="1:11" s="205" customFormat="1" ht="10.5" customHeight="1">
      <c r="A111" s="467">
        <v>1</v>
      </c>
      <c r="B111" s="467">
        <v>2</v>
      </c>
      <c r="C111" s="468">
        <v>3</v>
      </c>
      <c r="D111" s="467">
        <v>4</v>
      </c>
      <c r="E111" s="772">
        <v>5</v>
      </c>
      <c r="F111" s="772"/>
      <c r="G111" s="468">
        <v>6</v>
      </c>
      <c r="H111" s="468">
        <v>7</v>
      </c>
      <c r="I111" s="468">
        <v>8</v>
      </c>
      <c r="J111" s="482">
        <v>10</v>
      </c>
      <c r="K111" s="204"/>
    </row>
    <row r="112" spans="1:11" s="177" customFormat="1" ht="20.25" customHeight="1">
      <c r="A112" s="755" t="s">
        <v>638</v>
      </c>
      <c r="B112" s="727" t="s">
        <v>643</v>
      </c>
      <c r="C112" s="774" t="s">
        <v>457</v>
      </c>
      <c r="D112" s="749" t="s">
        <v>644</v>
      </c>
      <c r="E112" s="487" t="s">
        <v>623</v>
      </c>
      <c r="F112" s="473">
        <f>SUM(F113:F116)</f>
        <v>500000</v>
      </c>
      <c r="G112" s="190">
        <f>SUM(G113:G116)</f>
        <v>0</v>
      </c>
      <c r="H112" s="473">
        <f>SUM(H113:H116)</f>
        <v>85000</v>
      </c>
      <c r="I112" s="190">
        <f>SUM(I113:I116)</f>
        <v>85000</v>
      </c>
      <c r="J112" s="424"/>
      <c r="K112" s="176"/>
    </row>
    <row r="113" spans="1:11" s="177" customFormat="1" ht="15" customHeight="1">
      <c r="A113" s="756"/>
      <c r="B113" s="725"/>
      <c r="C113" s="775"/>
      <c r="D113" s="750"/>
      <c r="E113" s="463" t="s">
        <v>624</v>
      </c>
      <c r="F113" s="203">
        <f>G113+H113+I113</f>
        <v>0</v>
      </c>
      <c r="G113" s="178"/>
      <c r="H113" s="203"/>
      <c r="I113" s="178"/>
      <c r="J113" s="424"/>
      <c r="K113" s="176"/>
    </row>
    <row r="114" spans="1:11" s="177" customFormat="1" ht="15" customHeight="1">
      <c r="A114" s="756"/>
      <c r="B114" s="725"/>
      <c r="C114" s="775"/>
      <c r="D114" s="750"/>
      <c r="E114" s="463" t="s">
        <v>625</v>
      </c>
      <c r="F114" s="203">
        <f>G114+H114+I114+H114+I114+60000</f>
        <v>200000</v>
      </c>
      <c r="G114" s="178"/>
      <c r="H114" s="203">
        <v>35000</v>
      </c>
      <c r="I114" s="178">
        <v>35000</v>
      </c>
      <c r="J114" s="424"/>
      <c r="K114" s="176"/>
    </row>
    <row r="115" spans="1:11" s="177" customFormat="1" ht="15" customHeight="1">
      <c r="A115" s="756"/>
      <c r="B115" s="725"/>
      <c r="C115" s="775"/>
      <c r="D115" s="750"/>
      <c r="E115" s="463" t="s">
        <v>626</v>
      </c>
      <c r="F115" s="203">
        <f>G115+H115+I115+H115+I115+100000</f>
        <v>300000</v>
      </c>
      <c r="G115" s="178"/>
      <c r="H115" s="203">
        <v>50000</v>
      </c>
      <c r="I115" s="178">
        <v>50000</v>
      </c>
      <c r="J115" s="424"/>
      <c r="K115" s="176"/>
    </row>
    <row r="116" spans="1:11" s="177" customFormat="1" ht="15" customHeight="1">
      <c r="A116" s="757"/>
      <c r="B116" s="726"/>
      <c r="C116" s="776"/>
      <c r="D116" s="751"/>
      <c r="E116" s="465" t="s">
        <v>627</v>
      </c>
      <c r="F116" s="472">
        <f>G116+H116+I116</f>
        <v>0</v>
      </c>
      <c r="G116" s="479"/>
      <c r="H116" s="472"/>
      <c r="I116" s="479"/>
      <c r="J116" s="424"/>
      <c r="K116" s="176"/>
    </row>
    <row r="117" spans="1:11" s="177" customFormat="1" ht="21" customHeight="1">
      <c r="A117" s="755" t="s">
        <v>646</v>
      </c>
      <c r="B117" s="727" t="s">
        <v>558</v>
      </c>
      <c r="C117" s="737" t="s">
        <v>511</v>
      </c>
      <c r="D117" s="728" t="s">
        <v>559</v>
      </c>
      <c r="E117" s="487" t="s">
        <v>623</v>
      </c>
      <c r="F117" s="473">
        <f>SUM(F118:F121)</f>
        <v>350000</v>
      </c>
      <c r="G117" s="190">
        <f>SUM(G118:G121)</f>
        <v>87000</v>
      </c>
      <c r="H117" s="473">
        <f>SUM(H118:H121)</f>
        <v>87000</v>
      </c>
      <c r="I117" s="190">
        <f>SUM(I118:I121)</f>
        <v>87000</v>
      </c>
      <c r="J117" s="424"/>
      <c r="K117" s="176"/>
    </row>
    <row r="118" spans="1:11" s="177" customFormat="1" ht="15" customHeight="1">
      <c r="A118" s="756"/>
      <c r="B118" s="725"/>
      <c r="C118" s="738"/>
      <c r="D118" s="729"/>
      <c r="E118" s="463" t="s">
        <v>624</v>
      </c>
      <c r="F118" s="203">
        <f>G118+H118+I118</f>
        <v>0</v>
      </c>
      <c r="G118" s="178"/>
      <c r="H118" s="203"/>
      <c r="I118" s="178"/>
      <c r="J118" s="424"/>
      <c r="K118" s="176"/>
    </row>
    <row r="119" spans="1:11" s="177" customFormat="1" ht="15" customHeight="1">
      <c r="A119" s="756"/>
      <c r="B119" s="725"/>
      <c r="C119" s="738"/>
      <c r="D119" s="729"/>
      <c r="E119" s="463" t="s">
        <v>625</v>
      </c>
      <c r="F119" s="203">
        <f>G119+H119+I119+6000</f>
        <v>18000</v>
      </c>
      <c r="G119" s="178">
        <v>4000</v>
      </c>
      <c r="H119" s="203">
        <v>4000</v>
      </c>
      <c r="I119" s="178">
        <v>4000</v>
      </c>
      <c r="J119" s="424"/>
      <c r="K119" s="176"/>
    </row>
    <row r="120" spans="1:11" s="177" customFormat="1" ht="15" customHeight="1">
      <c r="A120" s="756"/>
      <c r="B120" s="725"/>
      <c r="C120" s="738"/>
      <c r="D120" s="729"/>
      <c r="E120" s="463" t="s">
        <v>626</v>
      </c>
      <c r="F120" s="203">
        <f>G120+H120+I120</f>
        <v>0</v>
      </c>
      <c r="G120" s="178"/>
      <c r="H120" s="203"/>
      <c r="I120" s="178"/>
      <c r="J120" s="424"/>
      <c r="K120" s="176"/>
    </row>
    <row r="121" spans="1:11" s="177" customFormat="1" ht="15" customHeight="1">
      <c r="A121" s="756"/>
      <c r="B121" s="726"/>
      <c r="C121" s="739"/>
      <c r="D121" s="730"/>
      <c r="E121" s="465" t="s">
        <v>627</v>
      </c>
      <c r="F121" s="472">
        <f>G121+H121+I121+83000</f>
        <v>332000</v>
      </c>
      <c r="G121" s="479">
        <v>83000</v>
      </c>
      <c r="H121" s="203">
        <v>83000</v>
      </c>
      <c r="I121" s="479">
        <v>83000</v>
      </c>
      <c r="J121" s="424"/>
      <c r="K121" s="176"/>
    </row>
    <row r="122" spans="1:11" s="177" customFormat="1" ht="21" customHeight="1">
      <c r="A122" s="756"/>
      <c r="B122" s="727" t="s">
        <v>560</v>
      </c>
      <c r="C122" s="737" t="s">
        <v>511</v>
      </c>
      <c r="D122" s="728" t="s">
        <v>599</v>
      </c>
      <c r="E122" s="487" t="s">
        <v>623</v>
      </c>
      <c r="F122" s="473">
        <f>SUM(F123:F126)</f>
        <v>600000</v>
      </c>
      <c r="G122" s="190">
        <f>SUM(G123:G126)</f>
        <v>200000</v>
      </c>
      <c r="H122" s="190">
        <f>SUM(H123:H126)</f>
        <v>200000</v>
      </c>
      <c r="I122" s="190">
        <f>SUM(I123:I126)</f>
        <v>200000</v>
      </c>
      <c r="J122" s="424"/>
      <c r="K122" s="176"/>
    </row>
    <row r="123" spans="1:11" s="177" customFormat="1" ht="15" customHeight="1">
      <c r="A123" s="756"/>
      <c r="B123" s="725"/>
      <c r="C123" s="738"/>
      <c r="D123" s="729"/>
      <c r="E123" s="463" t="s">
        <v>624</v>
      </c>
      <c r="F123" s="203">
        <f>G123+H123+I123</f>
        <v>0</v>
      </c>
      <c r="G123" s="178"/>
      <c r="H123" s="203"/>
      <c r="I123" s="178"/>
      <c r="J123" s="424"/>
      <c r="K123" s="176"/>
    </row>
    <row r="124" spans="1:11" s="177" customFormat="1" ht="15" customHeight="1">
      <c r="A124" s="756"/>
      <c r="B124" s="725"/>
      <c r="C124" s="738"/>
      <c r="D124" s="729"/>
      <c r="E124" s="463" t="s">
        <v>625</v>
      </c>
      <c r="F124" s="203">
        <f>G124+H124+I124</f>
        <v>30000</v>
      </c>
      <c r="G124" s="178">
        <v>10000</v>
      </c>
      <c r="H124" s="203">
        <v>10000</v>
      </c>
      <c r="I124" s="178">
        <v>10000</v>
      </c>
      <c r="J124" s="424"/>
      <c r="K124" s="176"/>
    </row>
    <row r="125" spans="1:11" s="177" customFormat="1" ht="15" customHeight="1">
      <c r="A125" s="756"/>
      <c r="B125" s="725"/>
      <c r="C125" s="738"/>
      <c r="D125" s="729"/>
      <c r="E125" s="463" t="s">
        <v>626</v>
      </c>
      <c r="F125" s="203">
        <f>G125+H125+I125</f>
        <v>570000</v>
      </c>
      <c r="G125" s="178">
        <v>190000</v>
      </c>
      <c r="H125" s="203">
        <v>190000</v>
      </c>
      <c r="I125" s="178">
        <v>190000</v>
      </c>
      <c r="J125" s="424"/>
      <c r="K125" s="176"/>
    </row>
    <row r="126" spans="1:11" s="177" customFormat="1" ht="15" customHeight="1">
      <c r="A126" s="756"/>
      <c r="B126" s="726"/>
      <c r="C126" s="739"/>
      <c r="D126" s="730"/>
      <c r="E126" s="465" t="s">
        <v>627</v>
      </c>
      <c r="F126" s="472">
        <f>G126+H126+I126</f>
        <v>0</v>
      </c>
      <c r="G126" s="479"/>
      <c r="H126" s="203"/>
      <c r="I126" s="479"/>
      <c r="J126" s="424"/>
      <c r="K126" s="176"/>
    </row>
    <row r="127" spans="1:11" s="177" customFormat="1" ht="20.25" customHeight="1">
      <c r="A127" s="756"/>
      <c r="B127" s="727" t="s">
        <v>602</v>
      </c>
      <c r="C127" s="737" t="s">
        <v>511</v>
      </c>
      <c r="D127" s="728">
        <v>2008</v>
      </c>
      <c r="E127" s="487" t="s">
        <v>623</v>
      </c>
      <c r="F127" s="473">
        <f>SUM(F128:F131)</f>
        <v>250000</v>
      </c>
      <c r="G127" s="190">
        <f>SUM(G128:G131)</f>
        <v>250000</v>
      </c>
      <c r="H127" s="190">
        <f>SUM(H128:H131)</f>
        <v>0</v>
      </c>
      <c r="I127" s="190">
        <f>SUM(I128:I131)</f>
        <v>0</v>
      </c>
      <c r="J127" s="473"/>
      <c r="K127" s="176"/>
    </row>
    <row r="128" spans="1:11" s="177" customFormat="1" ht="15" customHeight="1">
      <c r="A128" s="756"/>
      <c r="B128" s="725"/>
      <c r="C128" s="738"/>
      <c r="D128" s="729"/>
      <c r="E128" s="463" t="s">
        <v>624</v>
      </c>
      <c r="F128" s="203">
        <f>G128+H128+I128</f>
        <v>0</v>
      </c>
      <c r="G128" s="178"/>
      <c r="H128" s="203"/>
      <c r="I128" s="178"/>
      <c r="J128" s="424"/>
      <c r="K128" s="176"/>
    </row>
    <row r="129" spans="1:11" s="177" customFormat="1" ht="15" customHeight="1">
      <c r="A129" s="756"/>
      <c r="B129" s="725"/>
      <c r="C129" s="738"/>
      <c r="D129" s="729"/>
      <c r="E129" s="463" t="s">
        <v>625</v>
      </c>
      <c r="F129" s="203">
        <f>G129+H129+I129</f>
        <v>25000</v>
      </c>
      <c r="G129" s="178">
        <v>25000</v>
      </c>
      <c r="H129" s="203"/>
      <c r="I129" s="178"/>
      <c r="J129" s="424"/>
      <c r="K129" s="176"/>
    </row>
    <row r="130" spans="1:11" s="177" customFormat="1" ht="15" customHeight="1">
      <c r="A130" s="756"/>
      <c r="B130" s="725"/>
      <c r="C130" s="738"/>
      <c r="D130" s="729"/>
      <c r="E130" s="463" t="s">
        <v>626</v>
      </c>
      <c r="F130" s="203">
        <f>G130+H130+I130</f>
        <v>0</v>
      </c>
      <c r="G130" s="178"/>
      <c r="H130" s="203"/>
      <c r="I130" s="178"/>
      <c r="J130" s="424"/>
      <c r="K130" s="176"/>
    </row>
    <row r="131" spans="1:11" s="177" customFormat="1" ht="15" customHeight="1">
      <c r="A131" s="756"/>
      <c r="B131" s="726"/>
      <c r="C131" s="739"/>
      <c r="D131" s="730"/>
      <c r="E131" s="465" t="s">
        <v>627</v>
      </c>
      <c r="F131" s="472">
        <f>G131+H131+I131</f>
        <v>225000</v>
      </c>
      <c r="G131" s="479">
        <v>225000</v>
      </c>
      <c r="H131" s="203"/>
      <c r="I131" s="479"/>
      <c r="J131" s="424"/>
      <c r="K131" s="176"/>
    </row>
    <row r="132" spans="1:11" s="177" customFormat="1" ht="17.25" customHeight="1">
      <c r="A132" s="756"/>
      <c r="B132" s="727" t="s">
        <v>561</v>
      </c>
      <c r="C132" s="737" t="s">
        <v>511</v>
      </c>
      <c r="D132" s="728" t="s">
        <v>562</v>
      </c>
      <c r="E132" s="487" t="s">
        <v>623</v>
      </c>
      <c r="F132" s="473">
        <f>SUM(F133:F136)</f>
        <v>610000</v>
      </c>
      <c r="G132" s="190">
        <f>SUM(G133:G136)</f>
        <v>10000</v>
      </c>
      <c r="H132" s="473">
        <f>SUM(H133:H136)</f>
        <v>600000</v>
      </c>
      <c r="I132" s="190">
        <f>SUM(I133:I136)</f>
        <v>0</v>
      </c>
      <c r="J132" s="424"/>
      <c r="K132" s="176"/>
    </row>
    <row r="133" spans="1:11" s="177" customFormat="1" ht="15.75" customHeight="1">
      <c r="A133" s="756"/>
      <c r="B133" s="725"/>
      <c r="C133" s="738"/>
      <c r="D133" s="729"/>
      <c r="E133" s="463" t="s">
        <v>624</v>
      </c>
      <c r="F133" s="203">
        <f>G133+H133+I133</f>
        <v>305000</v>
      </c>
      <c r="G133" s="178">
        <v>5000</v>
      </c>
      <c r="H133" s="203">
        <v>300000</v>
      </c>
      <c r="I133" s="178"/>
      <c r="J133" s="424"/>
      <c r="K133" s="176"/>
    </row>
    <row r="134" spans="1:11" s="177" customFormat="1" ht="15.75" customHeight="1">
      <c r="A134" s="756"/>
      <c r="B134" s="725"/>
      <c r="C134" s="738"/>
      <c r="D134" s="729"/>
      <c r="E134" s="463" t="s">
        <v>625</v>
      </c>
      <c r="F134" s="203">
        <f>G134+H134+I134</f>
        <v>305000</v>
      </c>
      <c r="G134" s="178">
        <v>5000</v>
      </c>
      <c r="H134" s="203">
        <v>300000</v>
      </c>
      <c r="I134" s="178"/>
      <c r="J134" s="424"/>
      <c r="K134" s="176"/>
    </row>
    <row r="135" spans="1:11" s="177" customFormat="1" ht="15.75" customHeight="1">
      <c r="A135" s="756"/>
      <c r="B135" s="725"/>
      <c r="C135" s="738"/>
      <c r="D135" s="729"/>
      <c r="E135" s="463" t="s">
        <v>626</v>
      </c>
      <c r="F135" s="203">
        <f>G135+H135+I135</f>
        <v>0</v>
      </c>
      <c r="G135" s="178"/>
      <c r="H135" s="203"/>
      <c r="I135" s="178"/>
      <c r="J135" s="424"/>
      <c r="K135" s="176"/>
    </row>
    <row r="136" spans="1:11" s="177" customFormat="1" ht="15.75" customHeight="1">
      <c r="A136" s="756"/>
      <c r="B136" s="726"/>
      <c r="C136" s="739"/>
      <c r="D136" s="730"/>
      <c r="E136" s="465" t="s">
        <v>627</v>
      </c>
      <c r="F136" s="472">
        <f>G136+H136+I136</f>
        <v>0</v>
      </c>
      <c r="G136" s="479"/>
      <c r="H136" s="203"/>
      <c r="I136" s="479"/>
      <c r="J136" s="424"/>
      <c r="K136" s="176"/>
    </row>
    <row r="137" spans="1:11" s="177" customFormat="1" ht="16.5" customHeight="1">
      <c r="A137" s="756"/>
      <c r="B137" s="727" t="s">
        <v>647</v>
      </c>
      <c r="C137" s="737" t="s">
        <v>511</v>
      </c>
      <c r="D137" s="728">
        <v>2010</v>
      </c>
      <c r="E137" s="487" t="s">
        <v>623</v>
      </c>
      <c r="F137" s="473">
        <f>SUM(F138:F141)</f>
        <v>1000000</v>
      </c>
      <c r="G137" s="190">
        <f>SUM(G138:G141)</f>
        <v>0</v>
      </c>
      <c r="H137" s="473">
        <f>SUM(H138:H141)</f>
        <v>0</v>
      </c>
      <c r="I137" s="190">
        <f>SUM(I138:I141)</f>
        <v>1000000</v>
      </c>
      <c r="J137" s="424"/>
      <c r="K137" s="176"/>
    </row>
    <row r="138" spans="1:11" s="177" customFormat="1" ht="15.75" customHeight="1">
      <c r="A138" s="756"/>
      <c r="B138" s="725"/>
      <c r="C138" s="738"/>
      <c r="D138" s="729"/>
      <c r="E138" s="463" t="s">
        <v>624</v>
      </c>
      <c r="F138" s="203">
        <f>G138+H138+I138</f>
        <v>0</v>
      </c>
      <c r="G138" s="178"/>
      <c r="H138" s="203"/>
      <c r="I138" s="178"/>
      <c r="J138" s="424"/>
      <c r="K138" s="176"/>
    </row>
    <row r="139" spans="1:11" s="177" customFormat="1" ht="15.75" customHeight="1">
      <c r="A139" s="756"/>
      <c r="B139" s="725"/>
      <c r="C139" s="738"/>
      <c r="D139" s="729"/>
      <c r="E139" s="463" t="s">
        <v>625</v>
      </c>
      <c r="F139" s="203">
        <f>G139+H139+I139</f>
        <v>75000</v>
      </c>
      <c r="G139" s="178"/>
      <c r="H139" s="203"/>
      <c r="I139" s="178">
        <v>75000</v>
      </c>
      <c r="J139" s="424"/>
      <c r="K139" s="176"/>
    </row>
    <row r="140" spans="1:11" s="177" customFormat="1" ht="15.75" customHeight="1">
      <c r="A140" s="756"/>
      <c r="B140" s="725"/>
      <c r="C140" s="738"/>
      <c r="D140" s="729"/>
      <c r="E140" s="463" t="s">
        <v>626</v>
      </c>
      <c r="F140" s="203">
        <f>G140+H140+I140</f>
        <v>925000</v>
      </c>
      <c r="G140" s="178"/>
      <c r="H140" s="203"/>
      <c r="I140" s="178">
        <v>925000</v>
      </c>
      <c r="J140" s="424"/>
      <c r="K140" s="176"/>
    </row>
    <row r="141" spans="1:11" s="177" customFormat="1" ht="15.75" customHeight="1">
      <c r="A141" s="757"/>
      <c r="B141" s="726"/>
      <c r="C141" s="739"/>
      <c r="D141" s="730"/>
      <c r="E141" s="465" t="s">
        <v>627</v>
      </c>
      <c r="F141" s="472">
        <f>G141+H141+I141</f>
        <v>0</v>
      </c>
      <c r="G141" s="479"/>
      <c r="H141" s="472"/>
      <c r="I141" s="479"/>
      <c r="J141" s="424"/>
      <c r="K141" s="176"/>
    </row>
    <row r="142" spans="1:12" s="163" customFormat="1" ht="10.5" customHeight="1" thickBot="1">
      <c r="A142" s="483"/>
      <c r="B142" s="484"/>
      <c r="C142" s="484"/>
      <c r="D142" s="484"/>
      <c r="E142" s="484"/>
      <c r="F142" s="484"/>
      <c r="G142" s="484"/>
      <c r="H142" s="484"/>
      <c r="I142" s="484"/>
      <c r="J142" s="484"/>
      <c r="K142" s="485"/>
      <c r="L142" s="486"/>
    </row>
    <row r="143" spans="1:11" s="166" customFormat="1" ht="14.25" customHeight="1">
      <c r="A143" s="706" t="s">
        <v>614</v>
      </c>
      <c r="B143" s="706" t="s">
        <v>148</v>
      </c>
      <c r="C143" s="693" t="s">
        <v>634</v>
      </c>
      <c r="D143" s="778" t="s">
        <v>615</v>
      </c>
      <c r="E143" s="764" t="s">
        <v>616</v>
      </c>
      <c r="F143" s="765"/>
      <c r="G143" s="768" t="s">
        <v>629</v>
      </c>
      <c r="H143" s="769"/>
      <c r="I143" s="770"/>
      <c r="J143" s="260"/>
      <c r="K143" s="165"/>
    </row>
    <row r="144" spans="1:11" s="166" customFormat="1" ht="14.25" customHeight="1">
      <c r="A144" s="644"/>
      <c r="B144" s="644"/>
      <c r="C144" s="741"/>
      <c r="D144" s="642"/>
      <c r="E144" s="733"/>
      <c r="F144" s="734"/>
      <c r="G144" s="761"/>
      <c r="H144" s="762"/>
      <c r="I144" s="771"/>
      <c r="J144" s="269"/>
      <c r="K144" s="165"/>
    </row>
    <row r="145" spans="1:11" s="166" customFormat="1" ht="9.75" customHeight="1">
      <c r="A145" s="644"/>
      <c r="B145" s="644"/>
      <c r="C145" s="741"/>
      <c r="D145" s="642"/>
      <c r="E145" s="733"/>
      <c r="F145" s="734"/>
      <c r="G145" s="645" t="s">
        <v>628</v>
      </c>
      <c r="H145" s="645" t="s">
        <v>423</v>
      </c>
      <c r="I145" s="645" t="s">
        <v>506</v>
      </c>
      <c r="J145" s="258" t="s">
        <v>508</v>
      </c>
      <c r="K145" s="165"/>
    </row>
    <row r="146" spans="1:11" s="166" customFormat="1" ht="9" customHeight="1">
      <c r="A146" s="773"/>
      <c r="B146" s="773"/>
      <c r="C146" s="777"/>
      <c r="D146" s="779"/>
      <c r="E146" s="766"/>
      <c r="F146" s="767"/>
      <c r="G146" s="710"/>
      <c r="H146" s="710"/>
      <c r="I146" s="710"/>
      <c r="J146" s="259"/>
      <c r="K146" s="165"/>
    </row>
    <row r="147" spans="1:11" s="205" customFormat="1" ht="10.5" customHeight="1">
      <c r="A147" s="467">
        <v>1</v>
      </c>
      <c r="B147" s="467">
        <v>2</v>
      </c>
      <c r="C147" s="468">
        <v>3</v>
      </c>
      <c r="D147" s="467">
        <v>4</v>
      </c>
      <c r="E147" s="772">
        <v>5</v>
      </c>
      <c r="F147" s="772"/>
      <c r="G147" s="468">
        <v>6</v>
      </c>
      <c r="H147" s="468">
        <v>7</v>
      </c>
      <c r="I147" s="468">
        <v>8</v>
      </c>
      <c r="J147" s="482">
        <v>10</v>
      </c>
      <c r="K147" s="204"/>
    </row>
    <row r="148" spans="1:11" s="177" customFormat="1" ht="21" customHeight="1">
      <c r="A148" s="755" t="s">
        <v>646</v>
      </c>
      <c r="B148" s="727" t="s">
        <v>563</v>
      </c>
      <c r="C148" s="737" t="s">
        <v>511</v>
      </c>
      <c r="D148" s="780" t="s">
        <v>562</v>
      </c>
      <c r="E148" s="487" t="s">
        <v>623</v>
      </c>
      <c r="F148" s="473">
        <f>SUM(F149:F152)</f>
        <v>350000</v>
      </c>
      <c r="G148" s="190">
        <f>SUM(G149:G152)</f>
        <v>200000</v>
      </c>
      <c r="H148" s="473">
        <f>SUM(H149:H152)</f>
        <v>150000</v>
      </c>
      <c r="I148" s="190">
        <f>SUM(I149:I152)</f>
        <v>0</v>
      </c>
      <c r="J148" s="424"/>
      <c r="K148" s="176"/>
    </row>
    <row r="149" spans="1:11" s="177" customFormat="1" ht="15" customHeight="1">
      <c r="A149" s="756"/>
      <c r="B149" s="725"/>
      <c r="C149" s="738"/>
      <c r="D149" s="781"/>
      <c r="E149" s="426" t="s">
        <v>624</v>
      </c>
      <c r="F149" s="203">
        <f>G149+H149+I149</f>
        <v>0</v>
      </c>
      <c r="G149" s="178"/>
      <c r="H149" s="203"/>
      <c r="I149" s="178"/>
      <c r="J149" s="424"/>
      <c r="K149" s="176"/>
    </row>
    <row r="150" spans="1:11" s="177" customFormat="1" ht="15" customHeight="1">
      <c r="A150" s="756"/>
      <c r="B150" s="725"/>
      <c r="C150" s="738"/>
      <c r="D150" s="781"/>
      <c r="E150" s="426" t="s">
        <v>625</v>
      </c>
      <c r="F150" s="203">
        <f>G150+H150+I150</f>
        <v>17000</v>
      </c>
      <c r="G150" s="178">
        <v>10000</v>
      </c>
      <c r="H150" s="203">
        <v>7000</v>
      </c>
      <c r="I150" s="178"/>
      <c r="J150" s="424"/>
      <c r="K150" s="176"/>
    </row>
    <row r="151" spans="1:11" s="177" customFormat="1" ht="15" customHeight="1">
      <c r="A151" s="756"/>
      <c r="B151" s="725"/>
      <c r="C151" s="738"/>
      <c r="D151" s="781"/>
      <c r="E151" s="426" t="s">
        <v>626</v>
      </c>
      <c r="F151" s="203">
        <f>G151+H151+I151</f>
        <v>0</v>
      </c>
      <c r="G151" s="178"/>
      <c r="H151" s="203"/>
      <c r="I151" s="178"/>
      <c r="J151" s="424"/>
      <c r="K151" s="176"/>
    </row>
    <row r="152" spans="1:11" s="177" customFormat="1" ht="15" customHeight="1">
      <c r="A152" s="756"/>
      <c r="B152" s="726"/>
      <c r="C152" s="739"/>
      <c r="D152" s="782"/>
      <c r="E152" s="469" t="s">
        <v>627</v>
      </c>
      <c r="F152" s="472">
        <f>G152+H152+I152</f>
        <v>333000</v>
      </c>
      <c r="G152" s="178">
        <v>190000</v>
      </c>
      <c r="H152" s="203">
        <v>143000</v>
      </c>
      <c r="I152" s="178"/>
      <c r="J152" s="424"/>
      <c r="K152" s="176"/>
    </row>
    <row r="153" spans="1:11" s="177" customFormat="1" ht="21" customHeight="1" thickBot="1">
      <c r="A153" s="756"/>
      <c r="B153" s="727" t="s">
        <v>648</v>
      </c>
      <c r="C153" s="737" t="s">
        <v>511</v>
      </c>
      <c r="D153" s="783" t="s">
        <v>644</v>
      </c>
      <c r="E153" s="487" t="s">
        <v>623</v>
      </c>
      <c r="F153" s="473">
        <f>SUM(F154:F157)</f>
        <v>12000000</v>
      </c>
      <c r="G153" s="190">
        <f>SUM(G154:G157)</f>
        <v>0</v>
      </c>
      <c r="H153" s="473">
        <f>SUM(H154:H157)</f>
        <v>2000000</v>
      </c>
      <c r="I153" s="190">
        <f>SUM(I154:I157)</f>
        <v>2000000</v>
      </c>
      <c r="J153" s="474"/>
      <c r="K153" s="176"/>
    </row>
    <row r="154" spans="1:11" s="177" customFormat="1" ht="15" customHeight="1">
      <c r="A154" s="756"/>
      <c r="B154" s="725"/>
      <c r="C154" s="738"/>
      <c r="D154" s="784"/>
      <c r="E154" s="426" t="s">
        <v>624</v>
      </c>
      <c r="F154" s="203">
        <f>G154+H154+I154</f>
        <v>0</v>
      </c>
      <c r="G154" s="178"/>
      <c r="H154" s="203"/>
      <c r="I154" s="178"/>
      <c r="J154" s="424"/>
      <c r="K154" s="176"/>
    </row>
    <row r="155" spans="1:11" s="177" customFormat="1" ht="15" customHeight="1">
      <c r="A155" s="756"/>
      <c r="B155" s="725"/>
      <c r="C155" s="738"/>
      <c r="D155" s="784"/>
      <c r="E155" s="426" t="s">
        <v>625</v>
      </c>
      <c r="F155" s="203">
        <f>G155+H155+I155+H155*4</f>
        <v>600000</v>
      </c>
      <c r="G155" s="178"/>
      <c r="H155" s="203">
        <v>100000</v>
      </c>
      <c r="I155" s="178">
        <f>H155</f>
        <v>100000</v>
      </c>
      <c r="J155" s="424"/>
      <c r="K155" s="176"/>
    </row>
    <row r="156" spans="1:11" s="177" customFormat="1" ht="15" customHeight="1">
      <c r="A156" s="756"/>
      <c r="B156" s="725"/>
      <c r="C156" s="738"/>
      <c r="D156" s="784"/>
      <c r="E156" s="426" t="s">
        <v>626</v>
      </c>
      <c r="F156" s="203">
        <f>G156+H156+I156+H156*4</f>
        <v>11400000</v>
      </c>
      <c r="G156" s="178"/>
      <c r="H156" s="203">
        <v>1900000</v>
      </c>
      <c r="I156" s="178">
        <f>H156</f>
        <v>1900000</v>
      </c>
      <c r="J156" s="424"/>
      <c r="K156" s="176"/>
    </row>
    <row r="157" spans="1:11" s="177" customFormat="1" ht="15" customHeight="1">
      <c r="A157" s="756"/>
      <c r="B157" s="726"/>
      <c r="C157" s="739"/>
      <c r="D157" s="785"/>
      <c r="E157" s="469" t="s">
        <v>627</v>
      </c>
      <c r="F157" s="472">
        <f>G157+H157+I157</f>
        <v>0</v>
      </c>
      <c r="G157" s="479"/>
      <c r="H157" s="472"/>
      <c r="I157" s="479"/>
      <c r="J157" s="424"/>
      <c r="K157" s="176"/>
    </row>
    <row r="158" spans="1:11" s="177" customFormat="1" ht="21" customHeight="1">
      <c r="A158" s="756"/>
      <c r="B158" s="727" t="s">
        <v>649</v>
      </c>
      <c r="C158" s="737" t="s">
        <v>511</v>
      </c>
      <c r="D158" s="780" t="s">
        <v>650</v>
      </c>
      <c r="E158" s="487" t="s">
        <v>623</v>
      </c>
      <c r="F158" s="473">
        <f>SUM(F159:F162)</f>
        <v>1000000</v>
      </c>
      <c r="G158" s="190">
        <f>SUM(G159:G162)</f>
        <v>0</v>
      </c>
      <c r="H158" s="473">
        <f>SUM(H159:H162)</f>
        <v>0</v>
      </c>
      <c r="I158" s="190">
        <f>SUM(I159:I162)</f>
        <v>500000</v>
      </c>
      <c r="J158" s="424"/>
      <c r="K158" s="176"/>
    </row>
    <row r="159" spans="1:11" s="177" customFormat="1" ht="15" customHeight="1">
      <c r="A159" s="756"/>
      <c r="B159" s="725"/>
      <c r="C159" s="738"/>
      <c r="D159" s="781"/>
      <c r="E159" s="426" t="s">
        <v>624</v>
      </c>
      <c r="F159" s="203">
        <f>G159+H159+I159</f>
        <v>0</v>
      </c>
      <c r="G159" s="178"/>
      <c r="H159" s="203"/>
      <c r="I159" s="178"/>
      <c r="J159" s="424"/>
      <c r="K159" s="176"/>
    </row>
    <row r="160" spans="1:11" s="177" customFormat="1" ht="15" customHeight="1">
      <c r="A160" s="756"/>
      <c r="B160" s="725"/>
      <c r="C160" s="738"/>
      <c r="D160" s="781"/>
      <c r="E160" s="426" t="s">
        <v>625</v>
      </c>
      <c r="F160" s="203">
        <f>G160+H160+I160*2</f>
        <v>50000</v>
      </c>
      <c r="G160" s="178"/>
      <c r="H160" s="203"/>
      <c r="I160" s="178">
        <v>25000</v>
      </c>
      <c r="J160" s="424"/>
      <c r="K160" s="176"/>
    </row>
    <row r="161" spans="1:11" s="177" customFormat="1" ht="15" customHeight="1">
      <c r="A161" s="756"/>
      <c r="B161" s="725"/>
      <c r="C161" s="738"/>
      <c r="D161" s="781"/>
      <c r="E161" s="426" t="s">
        <v>626</v>
      </c>
      <c r="F161" s="203">
        <f>G161+H161+I161*2</f>
        <v>950000</v>
      </c>
      <c r="G161" s="178"/>
      <c r="H161" s="203"/>
      <c r="I161" s="178">
        <v>475000</v>
      </c>
      <c r="J161" s="424"/>
      <c r="K161" s="176"/>
    </row>
    <row r="162" spans="1:11" s="177" customFormat="1" ht="15" customHeight="1">
      <c r="A162" s="756"/>
      <c r="B162" s="726"/>
      <c r="C162" s="739"/>
      <c r="D162" s="782"/>
      <c r="E162" s="469" t="s">
        <v>627</v>
      </c>
      <c r="F162" s="472">
        <f>G162+H162+I162</f>
        <v>0</v>
      </c>
      <c r="G162" s="178"/>
      <c r="H162" s="203"/>
      <c r="I162" s="178"/>
      <c r="J162" s="424"/>
      <c r="K162" s="176"/>
    </row>
    <row r="163" spans="1:11" s="177" customFormat="1" ht="21" customHeight="1" thickBot="1">
      <c r="A163" s="756"/>
      <c r="B163" s="727" t="s">
        <v>445</v>
      </c>
      <c r="C163" s="737" t="s">
        <v>511</v>
      </c>
      <c r="D163" s="783" t="s">
        <v>517</v>
      </c>
      <c r="E163" s="487" t="s">
        <v>623</v>
      </c>
      <c r="F163" s="473">
        <f>SUM(F164:F167)</f>
        <v>245500</v>
      </c>
      <c r="G163" s="190">
        <f>SUM(G164:G167)</f>
        <v>90000</v>
      </c>
      <c r="H163" s="473">
        <f>SUM(H164:H167)</f>
        <v>90000</v>
      </c>
      <c r="I163" s="190">
        <f>SUM(I164:I167)</f>
        <v>0</v>
      </c>
      <c r="J163" s="474"/>
      <c r="K163" s="176"/>
    </row>
    <row r="164" spans="1:11" s="177" customFormat="1" ht="15" customHeight="1">
      <c r="A164" s="756"/>
      <c r="B164" s="725"/>
      <c r="C164" s="738"/>
      <c r="D164" s="784"/>
      <c r="E164" s="426" t="s">
        <v>624</v>
      </c>
      <c r="F164" s="203">
        <f>G164+H164+I164</f>
        <v>0</v>
      </c>
      <c r="G164" s="178"/>
      <c r="H164" s="203"/>
      <c r="I164" s="178"/>
      <c r="J164" s="424"/>
      <c r="K164" s="176"/>
    </row>
    <row r="165" spans="1:11" s="177" customFormat="1" ht="15" customHeight="1">
      <c r="A165" s="756"/>
      <c r="B165" s="725"/>
      <c r="C165" s="738"/>
      <c r="D165" s="784"/>
      <c r="E165" s="426" t="s">
        <v>625</v>
      </c>
      <c r="F165" s="203">
        <f>G165+H165+I165+65500</f>
        <v>225500</v>
      </c>
      <c r="G165" s="178">
        <v>80000</v>
      </c>
      <c r="H165" s="203">
        <v>80000</v>
      </c>
      <c r="I165" s="178"/>
      <c r="J165" s="424"/>
      <c r="K165" s="176"/>
    </row>
    <row r="166" spans="1:11" s="177" customFormat="1" ht="15" customHeight="1">
      <c r="A166" s="756"/>
      <c r="B166" s="725"/>
      <c r="C166" s="738"/>
      <c r="D166" s="784"/>
      <c r="E166" s="426" t="s">
        <v>626</v>
      </c>
      <c r="F166" s="203">
        <f>G166+H166+I166</f>
        <v>0</v>
      </c>
      <c r="G166" s="178"/>
      <c r="H166" s="203"/>
      <c r="I166" s="178"/>
      <c r="J166" s="424"/>
      <c r="K166" s="176"/>
    </row>
    <row r="167" spans="1:11" s="177" customFormat="1" ht="15" customHeight="1">
      <c r="A167" s="756"/>
      <c r="B167" s="726"/>
      <c r="C167" s="739"/>
      <c r="D167" s="785"/>
      <c r="E167" s="469" t="s">
        <v>627</v>
      </c>
      <c r="F167" s="472">
        <f>G167+H167+I167</f>
        <v>20000</v>
      </c>
      <c r="G167" s="479">
        <v>10000</v>
      </c>
      <c r="H167" s="472">
        <v>10000</v>
      </c>
      <c r="I167" s="479"/>
      <c r="J167" s="424"/>
      <c r="K167" s="176"/>
    </row>
    <row r="168" spans="1:11" s="177" customFormat="1" ht="21" customHeight="1" thickBot="1">
      <c r="A168" s="756"/>
      <c r="B168" s="727" t="s">
        <v>651</v>
      </c>
      <c r="C168" s="737" t="s">
        <v>511</v>
      </c>
      <c r="D168" s="783">
        <v>2009</v>
      </c>
      <c r="E168" s="487" t="s">
        <v>623</v>
      </c>
      <c r="F168" s="473">
        <f>SUM(F169:F172)</f>
        <v>80000</v>
      </c>
      <c r="G168" s="190">
        <f>SUM(G169:G172)</f>
        <v>0</v>
      </c>
      <c r="H168" s="473">
        <f>SUM(H169:H172)</f>
        <v>80000</v>
      </c>
      <c r="I168" s="190">
        <f>SUM(I169:I172)</f>
        <v>0</v>
      </c>
      <c r="J168" s="474"/>
      <c r="K168" s="176"/>
    </row>
    <row r="169" spans="1:11" s="177" customFormat="1" ht="15" customHeight="1">
      <c r="A169" s="756"/>
      <c r="B169" s="725"/>
      <c r="C169" s="738"/>
      <c r="D169" s="784"/>
      <c r="E169" s="426" t="s">
        <v>624</v>
      </c>
      <c r="F169" s="203">
        <f>G169+H169+I169</f>
        <v>0</v>
      </c>
      <c r="G169" s="178"/>
      <c r="H169" s="203"/>
      <c r="I169" s="178"/>
      <c r="J169" s="424"/>
      <c r="K169" s="176"/>
    </row>
    <row r="170" spans="1:11" s="177" customFormat="1" ht="15" customHeight="1">
      <c r="A170" s="756"/>
      <c r="B170" s="725"/>
      <c r="C170" s="738"/>
      <c r="D170" s="784"/>
      <c r="E170" s="426" t="s">
        <v>625</v>
      </c>
      <c r="F170" s="203">
        <f>G170+H170+I170</f>
        <v>4000</v>
      </c>
      <c r="G170" s="178"/>
      <c r="H170" s="203">
        <v>4000</v>
      </c>
      <c r="I170" s="178"/>
      <c r="J170" s="424"/>
      <c r="K170" s="176"/>
    </row>
    <row r="171" spans="1:11" s="177" customFormat="1" ht="15" customHeight="1">
      <c r="A171" s="756"/>
      <c r="B171" s="725"/>
      <c r="C171" s="738"/>
      <c r="D171" s="784"/>
      <c r="E171" s="426" t="s">
        <v>626</v>
      </c>
      <c r="F171" s="203">
        <f>G171+H171+I171</f>
        <v>76000</v>
      </c>
      <c r="G171" s="178"/>
      <c r="H171" s="203">
        <v>76000</v>
      </c>
      <c r="I171" s="178"/>
      <c r="J171" s="424"/>
      <c r="K171" s="176"/>
    </row>
    <row r="172" spans="1:11" s="177" customFormat="1" ht="15" customHeight="1">
      <c r="A172" s="757"/>
      <c r="B172" s="726"/>
      <c r="C172" s="739"/>
      <c r="D172" s="785"/>
      <c r="E172" s="469" t="s">
        <v>627</v>
      </c>
      <c r="F172" s="472">
        <f>G172+H172+I172</f>
        <v>0</v>
      </c>
      <c r="G172" s="479"/>
      <c r="H172" s="472"/>
      <c r="I172" s="479"/>
      <c r="J172" s="424"/>
      <c r="K172" s="176"/>
    </row>
    <row r="173" spans="1:11" s="177" customFormat="1" ht="20.25" customHeight="1" thickBot="1">
      <c r="A173" s="755" t="s">
        <v>652</v>
      </c>
      <c r="B173" s="727" t="s">
        <v>603</v>
      </c>
      <c r="C173" s="747" t="s">
        <v>511</v>
      </c>
      <c r="D173" s="749" t="s">
        <v>456</v>
      </c>
      <c r="E173" s="487" t="s">
        <v>623</v>
      </c>
      <c r="F173" s="473">
        <f>SUM(F174:F177)</f>
        <v>500000</v>
      </c>
      <c r="G173" s="190">
        <f>SUM(G174:G177)</f>
        <v>480000</v>
      </c>
      <c r="H173" s="473">
        <f>SUM(H174:H177)</f>
        <v>0</v>
      </c>
      <c r="I173" s="190">
        <f>SUM(I174:I177)</f>
        <v>0</v>
      </c>
      <c r="J173" s="281">
        <v>26400</v>
      </c>
      <c r="K173" s="176"/>
    </row>
    <row r="174" spans="1:11" s="177" customFormat="1" ht="15" customHeight="1">
      <c r="A174" s="756"/>
      <c r="B174" s="725"/>
      <c r="C174" s="748"/>
      <c r="D174" s="750"/>
      <c r="E174" s="426" t="s">
        <v>624</v>
      </c>
      <c r="F174" s="203">
        <f>G174+H174+I174</f>
        <v>200000</v>
      </c>
      <c r="G174" s="178">
        <v>200000</v>
      </c>
      <c r="H174" s="203"/>
      <c r="I174" s="178"/>
      <c r="J174" s="424"/>
      <c r="K174" s="176"/>
    </row>
    <row r="175" spans="1:11" s="177" customFormat="1" ht="15" customHeight="1">
      <c r="A175" s="756"/>
      <c r="B175" s="725"/>
      <c r="C175" s="748"/>
      <c r="D175" s="750"/>
      <c r="E175" s="426" t="s">
        <v>625</v>
      </c>
      <c r="F175" s="203">
        <f>G175+H175+I175+20000</f>
        <v>200000</v>
      </c>
      <c r="G175" s="178">
        <v>180000</v>
      </c>
      <c r="H175" s="203"/>
      <c r="I175" s="178"/>
      <c r="J175" s="424"/>
      <c r="K175" s="176"/>
    </row>
    <row r="176" spans="1:11" s="177" customFormat="1" ht="15" customHeight="1">
      <c r="A176" s="756"/>
      <c r="B176" s="725"/>
      <c r="C176" s="748"/>
      <c r="D176" s="750"/>
      <c r="E176" s="426" t="s">
        <v>626</v>
      </c>
      <c r="F176" s="203">
        <f>G176+H176+I176</f>
        <v>50000</v>
      </c>
      <c r="G176" s="178">
        <v>50000</v>
      </c>
      <c r="H176" s="203"/>
      <c r="I176" s="178"/>
      <c r="J176" s="424"/>
      <c r="K176" s="176"/>
    </row>
    <row r="177" spans="1:11" s="177" customFormat="1" ht="15" customHeight="1">
      <c r="A177" s="757"/>
      <c r="B177" s="726"/>
      <c r="C177" s="797"/>
      <c r="D177" s="751"/>
      <c r="E177" s="469" t="s">
        <v>627</v>
      </c>
      <c r="F177" s="472">
        <f>G177+H177+I177</f>
        <v>50000</v>
      </c>
      <c r="G177" s="479">
        <v>50000</v>
      </c>
      <c r="H177" s="472"/>
      <c r="I177" s="479"/>
      <c r="J177" s="424"/>
      <c r="K177" s="176"/>
    </row>
    <row r="178" spans="1:12" s="163" customFormat="1" ht="10.5" customHeight="1" thickBot="1">
      <c r="A178" s="483"/>
      <c r="B178" s="484"/>
      <c r="C178" s="484"/>
      <c r="D178" s="484"/>
      <c r="E178" s="484"/>
      <c r="F178" s="484"/>
      <c r="G178" s="484"/>
      <c r="H178" s="484"/>
      <c r="I178" s="484"/>
      <c r="J178" s="484"/>
      <c r="K178" s="485"/>
      <c r="L178" s="486"/>
    </row>
    <row r="179" spans="1:11" s="166" customFormat="1" ht="14.25" customHeight="1">
      <c r="A179" s="706" t="s">
        <v>614</v>
      </c>
      <c r="B179" s="706" t="s">
        <v>148</v>
      </c>
      <c r="C179" s="693" t="s">
        <v>634</v>
      </c>
      <c r="D179" s="778" t="s">
        <v>615</v>
      </c>
      <c r="E179" s="764" t="s">
        <v>616</v>
      </c>
      <c r="F179" s="765"/>
      <c r="G179" s="768" t="s">
        <v>629</v>
      </c>
      <c r="H179" s="769"/>
      <c r="I179" s="770"/>
      <c r="J179" s="260"/>
      <c r="K179" s="165"/>
    </row>
    <row r="180" spans="1:11" s="166" customFormat="1" ht="14.25" customHeight="1">
      <c r="A180" s="644"/>
      <c r="B180" s="644"/>
      <c r="C180" s="741"/>
      <c r="D180" s="642"/>
      <c r="E180" s="733"/>
      <c r="F180" s="734"/>
      <c r="G180" s="761"/>
      <c r="H180" s="762"/>
      <c r="I180" s="771"/>
      <c r="J180" s="269"/>
      <c r="K180" s="165"/>
    </row>
    <row r="181" spans="1:11" s="166" customFormat="1" ht="9.75" customHeight="1">
      <c r="A181" s="644"/>
      <c r="B181" s="644"/>
      <c r="C181" s="741"/>
      <c r="D181" s="642"/>
      <c r="E181" s="733"/>
      <c r="F181" s="734"/>
      <c r="G181" s="645" t="s">
        <v>628</v>
      </c>
      <c r="H181" s="645" t="s">
        <v>423</v>
      </c>
      <c r="I181" s="645" t="s">
        <v>506</v>
      </c>
      <c r="J181" s="258" t="s">
        <v>508</v>
      </c>
      <c r="K181" s="165"/>
    </row>
    <row r="182" spans="1:11" s="166" customFormat="1" ht="9" customHeight="1">
      <c r="A182" s="773"/>
      <c r="B182" s="773"/>
      <c r="C182" s="777"/>
      <c r="D182" s="779"/>
      <c r="E182" s="766"/>
      <c r="F182" s="767"/>
      <c r="G182" s="710"/>
      <c r="H182" s="710"/>
      <c r="I182" s="710"/>
      <c r="J182" s="259"/>
      <c r="K182" s="165"/>
    </row>
    <row r="183" spans="1:11" s="205" customFormat="1" ht="10.5" customHeight="1">
      <c r="A183" s="467">
        <v>1</v>
      </c>
      <c r="B183" s="467">
        <v>2</v>
      </c>
      <c r="C183" s="468">
        <v>3</v>
      </c>
      <c r="D183" s="467">
        <v>4</v>
      </c>
      <c r="E183" s="772">
        <v>5</v>
      </c>
      <c r="F183" s="772"/>
      <c r="G183" s="468">
        <v>6</v>
      </c>
      <c r="H183" s="468">
        <v>7</v>
      </c>
      <c r="I183" s="468">
        <v>8</v>
      </c>
      <c r="J183" s="482">
        <v>10</v>
      </c>
      <c r="K183" s="204"/>
    </row>
    <row r="184" spans="1:11" s="177" customFormat="1" ht="19.5" customHeight="1" thickBot="1">
      <c r="A184" s="755" t="s">
        <v>53</v>
      </c>
      <c r="B184" s="727" t="s">
        <v>54</v>
      </c>
      <c r="C184" s="747" t="s">
        <v>511</v>
      </c>
      <c r="D184" s="749">
        <v>2009</v>
      </c>
      <c r="E184" s="487" t="s">
        <v>623</v>
      </c>
      <c r="F184" s="473">
        <f>SUM(F185:F188)</f>
        <v>10000000</v>
      </c>
      <c r="G184" s="190">
        <f>SUM(G185:G188)</f>
        <v>0</v>
      </c>
      <c r="H184" s="473">
        <f>SUM(H185:H188)</f>
        <v>10000000</v>
      </c>
      <c r="I184" s="190">
        <f>SUM(I185:I188)</f>
        <v>0</v>
      </c>
      <c r="J184" s="281">
        <v>26400</v>
      </c>
      <c r="K184" s="176"/>
    </row>
    <row r="185" spans="1:11" s="177" customFormat="1" ht="15" customHeight="1">
      <c r="A185" s="756"/>
      <c r="B185" s="725"/>
      <c r="C185" s="748"/>
      <c r="D185" s="750"/>
      <c r="E185" s="426" t="s">
        <v>624</v>
      </c>
      <c r="F185" s="203">
        <f>G185+H185+I185</f>
        <v>0</v>
      </c>
      <c r="G185" s="178"/>
      <c r="H185" s="203"/>
      <c r="I185" s="178"/>
      <c r="J185" s="424"/>
      <c r="K185" s="176"/>
    </row>
    <row r="186" spans="1:11" s="177" customFormat="1" ht="15" customHeight="1">
      <c r="A186" s="756"/>
      <c r="B186" s="725"/>
      <c r="C186" s="748"/>
      <c r="D186" s="750"/>
      <c r="E186" s="426" t="s">
        <v>625</v>
      </c>
      <c r="F186" s="203">
        <f>G186+H186+I186</f>
        <v>0</v>
      </c>
      <c r="G186" s="178"/>
      <c r="H186" s="203"/>
      <c r="I186" s="178"/>
      <c r="J186" s="424"/>
      <c r="K186" s="176"/>
    </row>
    <row r="187" spans="1:11" s="177" customFormat="1" ht="15" customHeight="1">
      <c r="A187" s="756"/>
      <c r="B187" s="725"/>
      <c r="C187" s="748"/>
      <c r="D187" s="750"/>
      <c r="E187" s="426" t="s">
        <v>626</v>
      </c>
      <c r="F187" s="203">
        <f>G187+H187+I187</f>
        <v>0</v>
      </c>
      <c r="G187" s="178"/>
      <c r="H187" s="203"/>
      <c r="I187" s="178"/>
      <c r="J187" s="424"/>
      <c r="K187" s="176"/>
    </row>
    <row r="188" spans="1:11" s="177" customFormat="1" ht="15" customHeight="1">
      <c r="A188" s="756"/>
      <c r="B188" s="726"/>
      <c r="C188" s="797"/>
      <c r="D188" s="751"/>
      <c r="E188" s="469" t="s">
        <v>627</v>
      </c>
      <c r="F188" s="472">
        <f>G188+H188+I188</f>
        <v>10000000</v>
      </c>
      <c r="G188" s="479"/>
      <c r="H188" s="472">
        <v>10000000</v>
      </c>
      <c r="I188" s="479"/>
      <c r="J188" s="424"/>
      <c r="K188" s="176"/>
    </row>
    <row r="189" spans="1:11" s="177" customFormat="1" ht="20.25" customHeight="1" thickBot="1">
      <c r="A189" s="756"/>
      <c r="B189" s="727" t="s">
        <v>55</v>
      </c>
      <c r="C189" s="747" t="s">
        <v>511</v>
      </c>
      <c r="D189" s="749">
        <v>2009</v>
      </c>
      <c r="E189" s="487" t="s">
        <v>623</v>
      </c>
      <c r="F189" s="473">
        <f>SUM(F190:F193)</f>
        <v>10000000</v>
      </c>
      <c r="G189" s="190">
        <f>SUM(G190:G193)</f>
        <v>0</v>
      </c>
      <c r="H189" s="473">
        <f>SUM(H190:H193)</f>
        <v>0</v>
      </c>
      <c r="I189" s="190">
        <f>SUM(I190:I193)</f>
        <v>10000000</v>
      </c>
      <c r="J189" s="281">
        <v>26400</v>
      </c>
      <c r="K189" s="176"/>
    </row>
    <row r="190" spans="1:11" s="177" customFormat="1" ht="15" customHeight="1">
      <c r="A190" s="756"/>
      <c r="B190" s="725"/>
      <c r="C190" s="748"/>
      <c r="D190" s="750"/>
      <c r="E190" s="426" t="s">
        <v>624</v>
      </c>
      <c r="F190" s="203">
        <f>G190+H190+I190</f>
        <v>0</v>
      </c>
      <c r="G190" s="178"/>
      <c r="H190" s="203"/>
      <c r="I190" s="178"/>
      <c r="J190" s="424"/>
      <c r="K190" s="176"/>
    </row>
    <row r="191" spans="1:11" s="177" customFormat="1" ht="15" customHeight="1">
      <c r="A191" s="756"/>
      <c r="B191" s="725"/>
      <c r="C191" s="748"/>
      <c r="D191" s="750"/>
      <c r="E191" s="426" t="s">
        <v>625</v>
      </c>
      <c r="F191" s="203">
        <f>G191+H191+I191</f>
        <v>0</v>
      </c>
      <c r="G191" s="178"/>
      <c r="H191" s="203"/>
      <c r="I191" s="178"/>
      <c r="J191" s="424"/>
      <c r="K191" s="176"/>
    </row>
    <row r="192" spans="1:11" s="177" customFormat="1" ht="15" customHeight="1">
      <c r="A192" s="756"/>
      <c r="B192" s="725"/>
      <c r="C192" s="748"/>
      <c r="D192" s="750"/>
      <c r="E192" s="426" t="s">
        <v>626</v>
      </c>
      <c r="F192" s="203">
        <f>G192+H192+I192</f>
        <v>0</v>
      </c>
      <c r="G192" s="178"/>
      <c r="H192" s="203"/>
      <c r="I192" s="178"/>
      <c r="J192" s="424"/>
      <c r="K192" s="176"/>
    </row>
    <row r="193" spans="1:11" s="177" customFormat="1" ht="15" customHeight="1" thickBot="1">
      <c r="A193" s="756"/>
      <c r="B193" s="725"/>
      <c r="C193" s="748"/>
      <c r="D193" s="750"/>
      <c r="E193" s="426" t="s">
        <v>627</v>
      </c>
      <c r="F193" s="203">
        <f>G193+H193+I193</f>
        <v>10000000</v>
      </c>
      <c r="G193" s="178"/>
      <c r="H193" s="203"/>
      <c r="I193" s="178">
        <v>10000000</v>
      </c>
      <c r="J193" s="424"/>
      <c r="K193" s="176"/>
    </row>
    <row r="194" spans="1:11" s="177" customFormat="1" ht="20.25" customHeight="1" thickBot="1">
      <c r="A194" s="786"/>
      <c r="B194" s="789" t="s">
        <v>470</v>
      </c>
      <c r="C194" s="790"/>
      <c r="D194" s="791"/>
      <c r="E194" s="490" t="s">
        <v>623</v>
      </c>
      <c r="F194" s="478">
        <f>SUM(F195:F198)</f>
        <v>50161500</v>
      </c>
      <c r="G194" s="174">
        <f>SUM(G195:G198)</f>
        <v>10937500</v>
      </c>
      <c r="H194" s="491">
        <f>SUM(H195:H198)</f>
        <v>22252000</v>
      </c>
      <c r="I194" s="492">
        <f>SUM(I195:I198)</f>
        <v>16972000</v>
      </c>
      <c r="J194" s="281">
        <v>26400</v>
      </c>
      <c r="K194" s="176"/>
    </row>
    <row r="195" spans="1:11" s="177" customFormat="1" ht="21" customHeight="1">
      <c r="A195" s="787"/>
      <c r="B195" s="792"/>
      <c r="C195" s="793"/>
      <c r="D195" s="793"/>
      <c r="E195" s="425" t="s">
        <v>624</v>
      </c>
      <c r="F195" s="464">
        <f>G195+H195+I195</f>
        <v>16090000</v>
      </c>
      <c r="G195" s="424">
        <f aca="true" t="shared" si="0" ref="G195:I198">G190+G185+G174+G169+G164+G159+G154+G149+G138+G133+G128+G123+G118+G113+G102+G97+G92+G87+G82+G77+G66+G61+G56+G51+G46+G41+G30+G25+G20+G15+G10</f>
        <v>7155000</v>
      </c>
      <c r="H195" s="190">
        <f t="shared" si="0"/>
        <v>7085000</v>
      </c>
      <c r="I195" s="493">
        <f t="shared" si="0"/>
        <v>1850000</v>
      </c>
      <c r="J195" s="424"/>
      <c r="K195" s="176"/>
    </row>
    <row r="196" spans="1:11" s="177" customFormat="1" ht="21" customHeight="1">
      <c r="A196" s="787"/>
      <c r="B196" s="792"/>
      <c r="C196" s="793"/>
      <c r="D196" s="793"/>
      <c r="E196" s="488" t="s">
        <v>625</v>
      </c>
      <c r="F196" s="424">
        <f>G196+H196+I196</f>
        <v>2633500</v>
      </c>
      <c r="G196" s="424">
        <f t="shared" si="0"/>
        <v>619500</v>
      </c>
      <c r="H196" s="190">
        <f t="shared" si="0"/>
        <v>1140000</v>
      </c>
      <c r="I196" s="493">
        <f t="shared" si="0"/>
        <v>874000</v>
      </c>
      <c r="J196" s="424"/>
      <c r="K196" s="176"/>
    </row>
    <row r="197" spans="1:11" s="177" customFormat="1" ht="21" customHeight="1">
      <c r="A197" s="787"/>
      <c r="B197" s="792"/>
      <c r="C197" s="793"/>
      <c r="D197" s="793"/>
      <c r="E197" s="488" t="s">
        <v>626</v>
      </c>
      <c r="F197" s="424">
        <f>G197+H197+I197</f>
        <v>9416000</v>
      </c>
      <c r="G197" s="424">
        <f t="shared" si="0"/>
        <v>2155000</v>
      </c>
      <c r="H197" s="190">
        <f t="shared" si="0"/>
        <v>3441000</v>
      </c>
      <c r="I197" s="493">
        <f t="shared" si="0"/>
        <v>3820000</v>
      </c>
      <c r="J197" s="424"/>
      <c r="K197" s="176"/>
    </row>
    <row r="198" spans="1:11" s="177" customFormat="1" ht="21" customHeight="1" thickBot="1">
      <c r="A198" s="788"/>
      <c r="B198" s="794"/>
      <c r="C198" s="795"/>
      <c r="D198" s="796"/>
      <c r="E198" s="494" t="s">
        <v>627</v>
      </c>
      <c r="F198" s="474">
        <f>G198+H198+I198</f>
        <v>22022000</v>
      </c>
      <c r="G198" s="180">
        <f t="shared" si="0"/>
        <v>1008000</v>
      </c>
      <c r="H198" s="180">
        <f t="shared" si="0"/>
        <v>10586000</v>
      </c>
      <c r="I198" s="495">
        <f t="shared" si="0"/>
        <v>10428000</v>
      </c>
      <c r="J198" s="424"/>
      <c r="K198" s="176"/>
    </row>
    <row r="199" spans="1:10" s="170" customFormat="1" ht="14.25" customHeight="1">
      <c r="A199" s="167"/>
      <c r="B199" s="164"/>
      <c r="C199" s="169"/>
      <c r="D199" s="164"/>
      <c r="E199" s="168"/>
      <c r="F199" s="168"/>
      <c r="G199" s="164"/>
      <c r="H199" s="168"/>
      <c r="I199" s="164"/>
      <c r="J199" s="164"/>
    </row>
    <row r="200" ht="18.75" customHeight="1">
      <c r="F200" s="172"/>
    </row>
    <row r="201" ht="18.75" customHeight="1">
      <c r="I201" s="390"/>
    </row>
  </sheetData>
  <mergeCells count="168">
    <mergeCell ref="E183:F183"/>
    <mergeCell ref="E179:F182"/>
    <mergeCell ref="G179:I180"/>
    <mergeCell ref="G181:G182"/>
    <mergeCell ref="H181:H182"/>
    <mergeCell ref="I181:I182"/>
    <mergeCell ref="B184:B188"/>
    <mergeCell ref="C184:C188"/>
    <mergeCell ref="D184:D188"/>
    <mergeCell ref="A179:A182"/>
    <mergeCell ref="B179:B182"/>
    <mergeCell ref="C179:C182"/>
    <mergeCell ref="D179:D182"/>
    <mergeCell ref="A194:A198"/>
    <mergeCell ref="B194:D198"/>
    <mergeCell ref="B173:B177"/>
    <mergeCell ref="D173:D177"/>
    <mergeCell ref="C173:C177"/>
    <mergeCell ref="A173:A177"/>
    <mergeCell ref="B189:B193"/>
    <mergeCell ref="C189:C193"/>
    <mergeCell ref="D189:D193"/>
    <mergeCell ref="A184:A193"/>
    <mergeCell ref="B168:B172"/>
    <mergeCell ref="C168:C172"/>
    <mergeCell ref="D168:D172"/>
    <mergeCell ref="A148:A172"/>
    <mergeCell ref="B158:B162"/>
    <mergeCell ref="C158:C162"/>
    <mergeCell ref="D158:D162"/>
    <mergeCell ref="B163:B167"/>
    <mergeCell ref="C163:C167"/>
    <mergeCell ref="D163:D167"/>
    <mergeCell ref="E147:F147"/>
    <mergeCell ref="B148:B152"/>
    <mergeCell ref="B153:B157"/>
    <mergeCell ref="C148:C152"/>
    <mergeCell ref="C153:C157"/>
    <mergeCell ref="D148:D152"/>
    <mergeCell ref="D153:D157"/>
    <mergeCell ref="E143:F146"/>
    <mergeCell ref="G143:I144"/>
    <mergeCell ref="G145:G146"/>
    <mergeCell ref="H145:H146"/>
    <mergeCell ref="I145:I146"/>
    <mergeCell ref="A143:A146"/>
    <mergeCell ref="B143:B146"/>
    <mergeCell ref="C143:C146"/>
    <mergeCell ref="D143:D146"/>
    <mergeCell ref="B132:B136"/>
    <mergeCell ref="C132:C136"/>
    <mergeCell ref="D132:D136"/>
    <mergeCell ref="B137:B141"/>
    <mergeCell ref="C137:C141"/>
    <mergeCell ref="D137:D141"/>
    <mergeCell ref="B122:B126"/>
    <mergeCell ref="C122:C126"/>
    <mergeCell ref="D122:D126"/>
    <mergeCell ref="B127:B131"/>
    <mergeCell ref="C127:C131"/>
    <mergeCell ref="D127:D131"/>
    <mergeCell ref="E111:F111"/>
    <mergeCell ref="B117:B121"/>
    <mergeCell ref="C117:C121"/>
    <mergeCell ref="D117:D121"/>
    <mergeCell ref="B112:B116"/>
    <mergeCell ref="C112:C116"/>
    <mergeCell ref="D112:D116"/>
    <mergeCell ref="E107:F110"/>
    <mergeCell ref="G107:I108"/>
    <mergeCell ref="G109:G110"/>
    <mergeCell ref="H109:H110"/>
    <mergeCell ref="I109:I110"/>
    <mergeCell ref="A107:A110"/>
    <mergeCell ref="B107:B110"/>
    <mergeCell ref="C107:C110"/>
    <mergeCell ref="D107:D110"/>
    <mergeCell ref="B96:B100"/>
    <mergeCell ref="C96:C100"/>
    <mergeCell ref="D96:D100"/>
    <mergeCell ref="B101:B105"/>
    <mergeCell ref="C101:C105"/>
    <mergeCell ref="D101:D105"/>
    <mergeCell ref="B91:B95"/>
    <mergeCell ref="C91:C95"/>
    <mergeCell ref="D91:D95"/>
    <mergeCell ref="D86:D90"/>
    <mergeCell ref="A117:A141"/>
    <mergeCell ref="C76:C80"/>
    <mergeCell ref="D76:D80"/>
    <mergeCell ref="B81:B85"/>
    <mergeCell ref="C81:C85"/>
    <mergeCell ref="D81:D85"/>
    <mergeCell ref="A81:A105"/>
    <mergeCell ref="A112:A116"/>
    <mergeCell ref="B86:B90"/>
    <mergeCell ref="C86:C90"/>
    <mergeCell ref="A35:A38"/>
    <mergeCell ref="B35:B38"/>
    <mergeCell ref="C35:C38"/>
    <mergeCell ref="D35:D38"/>
    <mergeCell ref="E75:F75"/>
    <mergeCell ref="B65:B69"/>
    <mergeCell ref="C65:C69"/>
    <mergeCell ref="D65:D69"/>
    <mergeCell ref="B71:B74"/>
    <mergeCell ref="C71:C74"/>
    <mergeCell ref="D71:D74"/>
    <mergeCell ref="E71:F74"/>
    <mergeCell ref="A71:A74"/>
    <mergeCell ref="G71:I72"/>
    <mergeCell ref="G73:G74"/>
    <mergeCell ref="H73:H74"/>
    <mergeCell ref="I73:I74"/>
    <mergeCell ref="B60:B64"/>
    <mergeCell ref="C60:C64"/>
    <mergeCell ref="D60:D64"/>
    <mergeCell ref="A65:A69"/>
    <mergeCell ref="E35:F38"/>
    <mergeCell ref="G35:I36"/>
    <mergeCell ref="C40:C44"/>
    <mergeCell ref="C45:C49"/>
    <mergeCell ref="E39:F39"/>
    <mergeCell ref="I6:I7"/>
    <mergeCell ref="B55:B59"/>
    <mergeCell ref="A55:A64"/>
    <mergeCell ref="A76:A80"/>
    <mergeCell ref="B76:B80"/>
    <mergeCell ref="G37:G38"/>
    <mergeCell ref="H37:H38"/>
    <mergeCell ref="I37:I38"/>
    <mergeCell ref="C55:C59"/>
    <mergeCell ref="D55:D59"/>
    <mergeCell ref="A40:A49"/>
    <mergeCell ref="A1:I1"/>
    <mergeCell ref="B19:B23"/>
    <mergeCell ref="C19:C23"/>
    <mergeCell ref="D19:D23"/>
    <mergeCell ref="A9:A33"/>
    <mergeCell ref="C29:C33"/>
    <mergeCell ref="G4:I5"/>
    <mergeCell ref="G6:G7"/>
    <mergeCell ref="H6:H7"/>
    <mergeCell ref="A50:A54"/>
    <mergeCell ref="B50:B54"/>
    <mergeCell ref="C50:C54"/>
    <mergeCell ref="D50:D54"/>
    <mergeCell ref="E4:F7"/>
    <mergeCell ref="D9:D13"/>
    <mergeCell ref="B24:B28"/>
    <mergeCell ref="C9:C13"/>
    <mergeCell ref="C14:C18"/>
    <mergeCell ref="C24:C28"/>
    <mergeCell ref="C4:C7"/>
    <mergeCell ref="E8:F8"/>
    <mergeCell ref="D14:D18"/>
    <mergeCell ref="D24:D28"/>
    <mergeCell ref="B40:B44"/>
    <mergeCell ref="B45:B49"/>
    <mergeCell ref="B9:B13"/>
    <mergeCell ref="D4:D7"/>
    <mergeCell ref="D29:D33"/>
    <mergeCell ref="D40:D44"/>
    <mergeCell ref="D45:D49"/>
    <mergeCell ref="A4:A7"/>
    <mergeCell ref="B4:B7"/>
    <mergeCell ref="B14:B18"/>
    <mergeCell ref="B29:B33"/>
  </mergeCells>
  <printOptions/>
  <pageMargins left="0.1968503937007874" right="0.15748031496062992" top="0.8661417322834646" bottom="0.31496062992125984" header="0.11811023622047245" footer="0.11811023622047245"/>
  <pageSetup horizontalDpi="300" verticalDpi="300" orientation="landscape" paperSize="9" scale="95" r:id="rId1"/>
  <headerFooter alignWithMargins="0">
    <oddHeader>&amp;R&amp;"Arial CE,Pogrubiony"Załącznik Nr &amp;A&amp;"Arial CE,Standardowy"
&amp;9do Uchwały Rady Gminy
Miłkowice Nr ......................
z dnia .............................. roku</oddHeader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O132"/>
  <sheetViews>
    <sheetView zoomScale="80" zoomScaleNormal="80" workbookViewId="0" topLeftCell="A88">
      <selection activeCell="I110" sqref="I110"/>
    </sheetView>
  </sheetViews>
  <sheetFormatPr defaultColWidth="9.00390625" defaultRowHeight="12.75"/>
  <cols>
    <col min="1" max="1" width="3.625" style="155" customWidth="1"/>
    <col min="2" max="2" width="49.125" style="152" customWidth="1"/>
    <col min="3" max="3" width="11.125" style="154" customWidth="1"/>
    <col min="4" max="4" width="10.125" style="153" customWidth="1"/>
    <col min="5" max="5" width="25.25390625" style="153" customWidth="1"/>
    <col min="6" max="7" width="17.00390625" style="153" customWidth="1"/>
    <col min="8" max="8" width="11.875" style="153" customWidth="1"/>
    <col min="9" max="9" width="9.25390625" style="153" bestFit="1" customWidth="1"/>
    <col min="10" max="10" width="9.125" style="153" customWidth="1"/>
    <col min="11" max="11" width="9.125" style="152" customWidth="1"/>
    <col min="12" max="16384" width="9.125" style="150" customWidth="1"/>
  </cols>
  <sheetData>
    <row r="1" spans="1:11" s="210" customFormat="1" ht="25.5" customHeight="1">
      <c r="A1" s="819" t="s">
        <v>505</v>
      </c>
      <c r="B1" s="819"/>
      <c r="C1" s="819"/>
      <c r="D1" s="819"/>
      <c r="E1" s="819"/>
      <c r="F1" s="819"/>
      <c r="G1" s="819"/>
      <c r="H1" s="819"/>
      <c r="I1" s="819"/>
      <c r="J1" s="819"/>
      <c r="K1" s="819"/>
    </row>
    <row r="2" spans="1:11" s="210" customFormat="1" ht="9" customHeight="1" thickBot="1">
      <c r="A2" s="501"/>
      <c r="B2" s="501"/>
      <c r="C2" s="501"/>
      <c r="D2" s="501"/>
      <c r="E2" s="501"/>
      <c r="F2" s="501"/>
      <c r="G2" s="501"/>
      <c r="H2" s="501"/>
      <c r="I2" s="501"/>
      <c r="J2" s="501"/>
      <c r="K2" s="502" t="s">
        <v>16</v>
      </c>
    </row>
    <row r="3" spans="1:11" s="210" customFormat="1" ht="27.75" customHeight="1">
      <c r="A3" s="814" t="s">
        <v>37</v>
      </c>
      <c r="B3" s="800" t="s">
        <v>118</v>
      </c>
      <c r="C3" s="800" t="s">
        <v>119</v>
      </c>
      <c r="D3" s="800" t="s">
        <v>435</v>
      </c>
      <c r="E3" s="803" t="s">
        <v>421</v>
      </c>
      <c r="F3" s="804"/>
      <c r="G3" s="805"/>
      <c r="H3" s="806" t="s">
        <v>619</v>
      </c>
      <c r="I3" s="807"/>
      <c r="J3" s="807"/>
      <c r="K3" s="808"/>
    </row>
    <row r="4" spans="1:11" s="210" customFormat="1" ht="9" customHeight="1">
      <c r="A4" s="815"/>
      <c r="B4" s="801"/>
      <c r="C4" s="801"/>
      <c r="D4" s="801"/>
      <c r="E4" s="801" t="s">
        <v>422</v>
      </c>
      <c r="F4" s="801" t="s">
        <v>6</v>
      </c>
      <c r="G4" s="812" t="s">
        <v>7</v>
      </c>
      <c r="H4" s="809"/>
      <c r="I4" s="810"/>
      <c r="J4" s="810"/>
      <c r="K4" s="811"/>
    </row>
    <row r="5" spans="1:11" s="210" customFormat="1" ht="21" customHeight="1" thickBot="1">
      <c r="A5" s="816"/>
      <c r="B5" s="802"/>
      <c r="C5" s="802"/>
      <c r="D5" s="802"/>
      <c r="E5" s="802"/>
      <c r="F5" s="802"/>
      <c r="G5" s="813"/>
      <c r="H5" s="505" t="s">
        <v>628</v>
      </c>
      <c r="I5" s="505" t="s">
        <v>423</v>
      </c>
      <c r="J5" s="505" t="s">
        <v>506</v>
      </c>
      <c r="K5" s="506" t="s">
        <v>2</v>
      </c>
    </row>
    <row r="6" spans="1:11" s="211" customFormat="1" ht="8.25" customHeight="1">
      <c r="A6" s="549">
        <v>1</v>
      </c>
      <c r="B6" s="503">
        <v>2</v>
      </c>
      <c r="C6" s="503">
        <v>3</v>
      </c>
      <c r="D6" s="503">
        <v>4</v>
      </c>
      <c r="E6" s="503">
        <v>5</v>
      </c>
      <c r="F6" s="504">
        <v>6</v>
      </c>
      <c r="G6" s="504">
        <v>7</v>
      </c>
      <c r="H6" s="504">
        <v>8</v>
      </c>
      <c r="I6" s="504">
        <v>9</v>
      </c>
      <c r="J6" s="504">
        <v>10</v>
      </c>
      <c r="K6" s="550">
        <v>11</v>
      </c>
    </row>
    <row r="7" spans="1:11" s="212" customFormat="1" ht="24" customHeight="1">
      <c r="A7" s="562"/>
      <c r="B7" s="533" t="s">
        <v>424</v>
      </c>
      <c r="C7" s="534" t="s">
        <v>102</v>
      </c>
      <c r="D7" s="534" t="s">
        <v>102</v>
      </c>
      <c r="E7" s="534" t="s">
        <v>102</v>
      </c>
      <c r="F7" s="508">
        <f aca="true" t="shared" si="0" ref="F7:K7">F8+F48+F18+F13+F43+F38+F23+F63+F68+F73+F78+F83+F93+F98+F33+F53+F103</f>
        <v>24825.5</v>
      </c>
      <c r="G7" s="508">
        <f t="shared" si="0"/>
        <v>382.5</v>
      </c>
      <c r="H7" s="508">
        <f t="shared" si="0"/>
        <v>9778</v>
      </c>
      <c r="I7" s="508">
        <f t="shared" si="0"/>
        <v>9465</v>
      </c>
      <c r="J7" s="508">
        <f t="shared" si="0"/>
        <v>2885</v>
      </c>
      <c r="K7" s="554">
        <f t="shared" si="0"/>
        <v>22128</v>
      </c>
    </row>
    <row r="8" spans="1:11" s="212" customFormat="1" ht="18.75" customHeight="1">
      <c r="A8" s="555" t="s">
        <v>69</v>
      </c>
      <c r="B8" s="213" t="s">
        <v>3</v>
      </c>
      <c r="C8" s="535">
        <v>46</v>
      </c>
      <c r="D8" s="536" t="s">
        <v>19</v>
      </c>
      <c r="E8" s="529" t="s">
        <v>425</v>
      </c>
      <c r="F8" s="507">
        <f>F9+F10+F11+F12</f>
        <v>5040</v>
      </c>
      <c r="G8" s="507">
        <f>G9+G10+G11+G12</f>
        <v>40</v>
      </c>
      <c r="H8" s="507">
        <f>H9+H10+H11+H12</f>
        <v>5000</v>
      </c>
      <c r="I8" s="507">
        <f>I9+I10+I11+I12</f>
        <v>0</v>
      </c>
      <c r="J8" s="507">
        <f>J9+J10+J11+J12</f>
        <v>0</v>
      </c>
      <c r="K8" s="552">
        <f aca="true" t="shared" si="1" ref="K8:K36">H8+I8+J8</f>
        <v>5000</v>
      </c>
    </row>
    <row r="9" spans="1:11" s="212" customFormat="1" ht="38.25">
      <c r="A9" s="553"/>
      <c r="B9" s="213" t="s">
        <v>588</v>
      </c>
      <c r="C9" s="535"/>
      <c r="D9" s="537"/>
      <c r="E9" s="525" t="s">
        <v>426</v>
      </c>
      <c r="F9" s="509">
        <v>265</v>
      </c>
      <c r="G9" s="508">
        <v>40</v>
      </c>
      <c r="H9" s="509">
        <v>225</v>
      </c>
      <c r="I9" s="509">
        <v>0</v>
      </c>
      <c r="J9" s="509">
        <v>0</v>
      </c>
      <c r="K9" s="554">
        <f t="shared" si="1"/>
        <v>225</v>
      </c>
    </row>
    <row r="10" spans="1:11" s="212" customFormat="1" ht="18.75" customHeight="1">
      <c r="A10" s="553"/>
      <c r="B10" s="213" t="s">
        <v>4</v>
      </c>
      <c r="C10" s="535"/>
      <c r="D10" s="537"/>
      <c r="E10" s="525" t="s">
        <v>433</v>
      </c>
      <c r="F10" s="509">
        <v>250</v>
      </c>
      <c r="G10" s="509">
        <v>0</v>
      </c>
      <c r="H10" s="509">
        <v>250</v>
      </c>
      <c r="I10" s="509"/>
      <c r="J10" s="509">
        <v>0</v>
      </c>
      <c r="K10" s="554">
        <f t="shared" si="1"/>
        <v>250</v>
      </c>
    </row>
    <row r="11" spans="1:11" s="212" customFormat="1" ht="18.75" customHeight="1">
      <c r="A11" s="553"/>
      <c r="B11" s="798" t="s">
        <v>11</v>
      </c>
      <c r="C11" s="535"/>
      <c r="D11" s="537"/>
      <c r="E11" s="525" t="s">
        <v>427</v>
      </c>
      <c r="F11" s="509">
        <v>275</v>
      </c>
      <c r="G11" s="509">
        <v>0</v>
      </c>
      <c r="H11" s="509">
        <v>275</v>
      </c>
      <c r="I11" s="509">
        <v>0</v>
      </c>
      <c r="J11" s="509">
        <v>0</v>
      </c>
      <c r="K11" s="554">
        <f t="shared" si="1"/>
        <v>275</v>
      </c>
    </row>
    <row r="12" spans="1:11" s="212" customFormat="1" ht="18.75" customHeight="1" thickBot="1">
      <c r="A12" s="557"/>
      <c r="B12" s="799"/>
      <c r="C12" s="558"/>
      <c r="D12" s="561"/>
      <c r="E12" s="526" t="s">
        <v>428</v>
      </c>
      <c r="F12" s="510">
        <v>4250</v>
      </c>
      <c r="G12" s="510">
        <v>0</v>
      </c>
      <c r="H12" s="510">
        <v>4250</v>
      </c>
      <c r="I12" s="510">
        <v>0</v>
      </c>
      <c r="J12" s="510">
        <v>0</v>
      </c>
      <c r="K12" s="560">
        <f t="shared" si="1"/>
        <v>4250</v>
      </c>
    </row>
    <row r="13" spans="1:11" s="212" customFormat="1" ht="20.25" customHeight="1">
      <c r="A13" s="555" t="s">
        <v>70</v>
      </c>
      <c r="B13" s="434" t="s">
        <v>5</v>
      </c>
      <c r="C13" s="535">
        <v>46</v>
      </c>
      <c r="D13" s="536" t="s">
        <v>19</v>
      </c>
      <c r="E13" s="529" t="s">
        <v>430</v>
      </c>
      <c r="F13" s="507">
        <f>F14+F15+F16+F17</f>
        <v>5107</v>
      </c>
      <c r="G13" s="507">
        <f>G14+G15+G16+G17</f>
        <v>7</v>
      </c>
      <c r="H13" s="507">
        <f>H14+H15+H16+H17</f>
        <v>100</v>
      </c>
      <c r="I13" s="507">
        <f>I14+I15+I16+I17</f>
        <v>5000</v>
      </c>
      <c r="J13" s="507">
        <f>J14+J15+J16+J17</f>
        <v>0</v>
      </c>
      <c r="K13" s="552">
        <f t="shared" si="1"/>
        <v>5100</v>
      </c>
    </row>
    <row r="14" spans="1:11" s="212" customFormat="1" ht="38.25">
      <c r="A14" s="553"/>
      <c r="B14" s="213" t="s">
        <v>590</v>
      </c>
      <c r="C14" s="535"/>
      <c r="D14" s="537"/>
      <c r="E14" s="525" t="s">
        <v>432</v>
      </c>
      <c r="F14" s="509">
        <v>272</v>
      </c>
      <c r="G14" s="509">
        <v>7</v>
      </c>
      <c r="H14" s="509">
        <v>15</v>
      </c>
      <c r="I14" s="509">
        <v>250</v>
      </c>
      <c r="J14" s="509">
        <v>0</v>
      </c>
      <c r="K14" s="554">
        <f t="shared" si="1"/>
        <v>265</v>
      </c>
    </row>
    <row r="15" spans="1:11" s="212" customFormat="1" ht="18" customHeight="1">
      <c r="A15" s="553"/>
      <c r="B15" s="213" t="s">
        <v>8</v>
      </c>
      <c r="C15" s="535"/>
      <c r="D15" s="537"/>
      <c r="E15" s="525" t="s">
        <v>433</v>
      </c>
      <c r="F15" s="509">
        <v>250</v>
      </c>
      <c r="G15" s="509">
        <v>0</v>
      </c>
      <c r="H15" s="509">
        <v>0</v>
      </c>
      <c r="I15" s="509">
        <v>250</v>
      </c>
      <c r="J15" s="509">
        <v>0</v>
      </c>
      <c r="K15" s="554">
        <f t="shared" si="1"/>
        <v>250</v>
      </c>
    </row>
    <row r="16" spans="1:11" s="212" customFormat="1" ht="18.75" customHeight="1">
      <c r="A16" s="553"/>
      <c r="B16" s="798" t="s">
        <v>10</v>
      </c>
      <c r="C16" s="535"/>
      <c r="D16" s="537"/>
      <c r="E16" s="525" t="s">
        <v>427</v>
      </c>
      <c r="F16" s="509">
        <v>250</v>
      </c>
      <c r="G16" s="509">
        <v>0</v>
      </c>
      <c r="H16" s="509">
        <v>0</v>
      </c>
      <c r="I16" s="509">
        <v>250</v>
      </c>
      <c r="J16" s="509">
        <v>0</v>
      </c>
      <c r="K16" s="554">
        <f t="shared" si="1"/>
        <v>250</v>
      </c>
    </row>
    <row r="17" spans="1:11" s="212" customFormat="1" ht="18.75" customHeight="1" thickBot="1">
      <c r="A17" s="557"/>
      <c r="B17" s="818"/>
      <c r="C17" s="558"/>
      <c r="D17" s="561"/>
      <c r="E17" s="526" t="s">
        <v>431</v>
      </c>
      <c r="F17" s="510">
        <v>4335</v>
      </c>
      <c r="G17" s="510">
        <v>0</v>
      </c>
      <c r="H17" s="510">
        <v>85</v>
      </c>
      <c r="I17" s="510">
        <v>4250</v>
      </c>
      <c r="J17" s="510">
        <v>0</v>
      </c>
      <c r="K17" s="560">
        <f t="shared" si="1"/>
        <v>4335</v>
      </c>
    </row>
    <row r="18" spans="1:13" s="214" customFormat="1" ht="19.5" customHeight="1">
      <c r="A18" s="555" t="s">
        <v>71</v>
      </c>
      <c r="B18" s="434" t="s">
        <v>3</v>
      </c>
      <c r="C18" s="535">
        <v>46</v>
      </c>
      <c r="D18" s="536" t="s">
        <v>19</v>
      </c>
      <c r="E18" s="529" t="s">
        <v>425</v>
      </c>
      <c r="F18" s="507">
        <f>F19+F20+F21+F22</f>
        <v>3000</v>
      </c>
      <c r="G18" s="507">
        <f>G19+G20+G21+G22</f>
        <v>0</v>
      </c>
      <c r="H18" s="507">
        <f>H19+H20+H21+H22</f>
        <v>0</v>
      </c>
      <c r="I18" s="507">
        <f>I19+I20+I21+I22</f>
        <v>1000</v>
      </c>
      <c r="J18" s="507">
        <f>J19+J20+J21+J22</f>
        <v>1000</v>
      </c>
      <c r="K18" s="552">
        <f t="shared" si="1"/>
        <v>2000</v>
      </c>
      <c r="M18" s="216"/>
    </row>
    <row r="19" spans="1:13" s="214" customFormat="1" ht="36.75" customHeight="1">
      <c r="A19" s="553"/>
      <c r="B19" s="213" t="s">
        <v>588</v>
      </c>
      <c r="C19" s="535"/>
      <c r="D19" s="537"/>
      <c r="E19" s="525" t="s">
        <v>426</v>
      </c>
      <c r="F19" s="509">
        <v>150</v>
      </c>
      <c r="G19" s="509">
        <v>0</v>
      </c>
      <c r="H19" s="509">
        <v>0</v>
      </c>
      <c r="I19" s="509">
        <v>50</v>
      </c>
      <c r="J19" s="509">
        <v>50</v>
      </c>
      <c r="K19" s="554">
        <f t="shared" si="1"/>
        <v>100</v>
      </c>
      <c r="M19" s="216"/>
    </row>
    <row r="20" spans="1:13" s="214" customFormat="1" ht="15.75" customHeight="1">
      <c r="A20" s="553"/>
      <c r="B20" s="213" t="s">
        <v>4</v>
      </c>
      <c r="C20" s="527"/>
      <c r="D20" s="537"/>
      <c r="E20" s="525" t="s">
        <v>433</v>
      </c>
      <c r="F20" s="509">
        <v>150</v>
      </c>
      <c r="G20" s="509">
        <v>0</v>
      </c>
      <c r="H20" s="509">
        <v>0</v>
      </c>
      <c r="I20" s="509">
        <v>50</v>
      </c>
      <c r="J20" s="509">
        <v>50</v>
      </c>
      <c r="K20" s="554">
        <f t="shared" si="1"/>
        <v>100</v>
      </c>
      <c r="M20" s="216"/>
    </row>
    <row r="21" spans="1:13" s="214" customFormat="1" ht="18.75" customHeight="1">
      <c r="A21" s="553"/>
      <c r="B21" s="798" t="s">
        <v>9</v>
      </c>
      <c r="C21" s="527"/>
      <c r="D21" s="537"/>
      <c r="E21" s="525" t="s">
        <v>427</v>
      </c>
      <c r="F21" s="509">
        <v>450</v>
      </c>
      <c r="G21" s="509">
        <v>0</v>
      </c>
      <c r="H21" s="509">
        <v>0</v>
      </c>
      <c r="I21" s="509">
        <v>150</v>
      </c>
      <c r="J21" s="509">
        <v>150</v>
      </c>
      <c r="K21" s="554">
        <f t="shared" si="1"/>
        <v>300</v>
      </c>
      <c r="M21" s="216"/>
    </row>
    <row r="22" spans="1:13" s="214" customFormat="1" ht="18.75" customHeight="1" thickBot="1">
      <c r="A22" s="557"/>
      <c r="B22" s="799"/>
      <c r="C22" s="563"/>
      <c r="D22" s="561"/>
      <c r="E22" s="526" t="s">
        <v>428</v>
      </c>
      <c r="F22" s="510">
        <v>2250</v>
      </c>
      <c r="G22" s="510">
        <v>0</v>
      </c>
      <c r="H22" s="510">
        <v>0</v>
      </c>
      <c r="I22" s="510">
        <v>750</v>
      </c>
      <c r="J22" s="510">
        <v>750</v>
      </c>
      <c r="K22" s="560">
        <f t="shared" si="1"/>
        <v>1500</v>
      </c>
      <c r="M22" s="216"/>
    </row>
    <row r="23" spans="1:13" s="214" customFormat="1" ht="19.5" customHeight="1">
      <c r="A23" s="555" t="s">
        <v>58</v>
      </c>
      <c r="B23" s="389" t="s">
        <v>12</v>
      </c>
      <c r="C23" s="527"/>
      <c r="D23" s="536" t="s">
        <v>19</v>
      </c>
      <c r="E23" s="529" t="s">
        <v>430</v>
      </c>
      <c r="F23" s="512">
        <f>F24+F25+F26+F27</f>
        <v>526</v>
      </c>
      <c r="G23" s="512">
        <f>G24+G25+G26+G27</f>
        <v>96</v>
      </c>
      <c r="H23" s="512">
        <f>H24+H25+H26+H27</f>
        <v>340</v>
      </c>
      <c r="I23" s="512">
        <f>I24+I25+I26+I27</f>
        <v>90</v>
      </c>
      <c r="J23" s="512">
        <f>J24+J25+J26+J27</f>
        <v>0</v>
      </c>
      <c r="K23" s="552">
        <f t="shared" si="1"/>
        <v>430</v>
      </c>
      <c r="M23" s="216"/>
    </row>
    <row r="24" spans="1:13" s="214" customFormat="1" ht="25.5">
      <c r="A24" s="553"/>
      <c r="B24" s="213" t="s">
        <v>13</v>
      </c>
      <c r="C24" s="527"/>
      <c r="D24" s="537"/>
      <c r="E24" s="525" t="s">
        <v>432</v>
      </c>
      <c r="F24" s="509">
        <v>96</v>
      </c>
      <c r="G24" s="509">
        <v>96</v>
      </c>
      <c r="H24" s="509">
        <v>0</v>
      </c>
      <c r="I24" s="509">
        <v>0</v>
      </c>
      <c r="J24" s="513">
        <v>0</v>
      </c>
      <c r="K24" s="554">
        <f t="shared" si="1"/>
        <v>0</v>
      </c>
      <c r="M24" s="216"/>
    </row>
    <row r="25" spans="1:13" s="214" customFormat="1" ht="20.25" customHeight="1">
      <c r="A25" s="553"/>
      <c r="B25" s="213" t="s">
        <v>14</v>
      </c>
      <c r="C25" s="527"/>
      <c r="D25" s="532"/>
      <c r="E25" s="525" t="s">
        <v>433</v>
      </c>
      <c r="F25" s="509">
        <v>0</v>
      </c>
      <c r="G25" s="509">
        <v>0</v>
      </c>
      <c r="H25" s="509">
        <v>0</v>
      </c>
      <c r="I25" s="509">
        <v>0</v>
      </c>
      <c r="J25" s="509"/>
      <c r="K25" s="554">
        <f t="shared" si="1"/>
        <v>0</v>
      </c>
      <c r="M25" s="216"/>
    </row>
    <row r="26" spans="1:13" s="214" customFormat="1" ht="18.75" customHeight="1">
      <c r="A26" s="553"/>
      <c r="B26" s="798" t="s">
        <v>15</v>
      </c>
      <c r="C26" s="527"/>
      <c r="D26" s="532"/>
      <c r="E26" s="525" t="s">
        <v>586</v>
      </c>
      <c r="F26" s="509">
        <v>430</v>
      </c>
      <c r="G26" s="509">
        <v>0</v>
      </c>
      <c r="H26" s="509">
        <v>340</v>
      </c>
      <c r="I26" s="509">
        <v>90</v>
      </c>
      <c r="J26" s="513">
        <v>0</v>
      </c>
      <c r="K26" s="554">
        <f t="shared" si="1"/>
        <v>430</v>
      </c>
      <c r="M26" s="216"/>
    </row>
    <row r="27" spans="1:13" s="214" customFormat="1" ht="18.75" customHeight="1" thickBot="1">
      <c r="A27" s="557"/>
      <c r="B27" s="799"/>
      <c r="C27" s="563"/>
      <c r="D27" s="564"/>
      <c r="E27" s="526" t="s">
        <v>653</v>
      </c>
      <c r="F27" s="510">
        <v>0</v>
      </c>
      <c r="G27" s="510">
        <v>0</v>
      </c>
      <c r="H27" s="510">
        <v>0</v>
      </c>
      <c r="I27" s="510">
        <v>0</v>
      </c>
      <c r="J27" s="514">
        <v>0</v>
      </c>
      <c r="K27" s="560">
        <f t="shared" si="1"/>
        <v>0</v>
      </c>
      <c r="M27" s="216"/>
    </row>
    <row r="28" spans="1:11" s="210" customFormat="1" ht="9" customHeight="1" thickBot="1">
      <c r="A28" s="501"/>
      <c r="B28" s="501"/>
      <c r="C28" s="501"/>
      <c r="D28" s="501"/>
      <c r="E28" s="501"/>
      <c r="F28" s="501"/>
      <c r="G28" s="501"/>
      <c r="H28" s="501"/>
      <c r="I28" s="501"/>
      <c r="J28" s="501"/>
      <c r="K28" s="502"/>
    </row>
    <row r="29" spans="1:11" s="210" customFormat="1" ht="27.75" customHeight="1">
      <c r="A29" s="814" t="s">
        <v>37</v>
      </c>
      <c r="B29" s="800" t="s">
        <v>118</v>
      </c>
      <c r="C29" s="800" t="s">
        <v>119</v>
      </c>
      <c r="D29" s="800" t="s">
        <v>435</v>
      </c>
      <c r="E29" s="803" t="s">
        <v>421</v>
      </c>
      <c r="F29" s="804"/>
      <c r="G29" s="805"/>
      <c r="H29" s="806" t="s">
        <v>619</v>
      </c>
      <c r="I29" s="807"/>
      <c r="J29" s="807"/>
      <c r="K29" s="808"/>
    </row>
    <row r="30" spans="1:11" s="210" customFormat="1" ht="9" customHeight="1">
      <c r="A30" s="815"/>
      <c r="B30" s="801"/>
      <c r="C30" s="801"/>
      <c r="D30" s="801"/>
      <c r="E30" s="801" t="s">
        <v>422</v>
      </c>
      <c r="F30" s="801" t="s">
        <v>6</v>
      </c>
      <c r="G30" s="812" t="s">
        <v>7</v>
      </c>
      <c r="H30" s="809"/>
      <c r="I30" s="810"/>
      <c r="J30" s="810"/>
      <c r="K30" s="811"/>
    </row>
    <row r="31" spans="1:11" s="210" customFormat="1" ht="21" customHeight="1" thickBot="1">
      <c r="A31" s="816"/>
      <c r="B31" s="802"/>
      <c r="C31" s="802"/>
      <c r="D31" s="802"/>
      <c r="E31" s="802"/>
      <c r="F31" s="802"/>
      <c r="G31" s="813"/>
      <c r="H31" s="505" t="s">
        <v>628</v>
      </c>
      <c r="I31" s="505" t="s">
        <v>423</v>
      </c>
      <c r="J31" s="505" t="s">
        <v>506</v>
      </c>
      <c r="K31" s="506" t="s">
        <v>2</v>
      </c>
    </row>
    <row r="32" spans="1:11" s="211" customFormat="1" ht="8.25" customHeight="1" thickBot="1">
      <c r="A32" s="549">
        <v>1</v>
      </c>
      <c r="B32" s="503">
        <v>2</v>
      </c>
      <c r="C32" s="503">
        <v>3</v>
      </c>
      <c r="D32" s="503">
        <v>4</v>
      </c>
      <c r="E32" s="503">
        <v>5</v>
      </c>
      <c r="F32" s="504">
        <v>6</v>
      </c>
      <c r="G32" s="504">
        <v>7</v>
      </c>
      <c r="H32" s="504">
        <v>8</v>
      </c>
      <c r="I32" s="504">
        <v>9</v>
      </c>
      <c r="J32" s="504">
        <v>10</v>
      </c>
      <c r="K32" s="550">
        <v>11</v>
      </c>
    </row>
    <row r="33" spans="1:13" s="214" customFormat="1" ht="19.5" customHeight="1">
      <c r="A33" s="555" t="s">
        <v>75</v>
      </c>
      <c r="B33" s="435" t="s">
        <v>12</v>
      </c>
      <c r="C33" s="527"/>
      <c r="D33" s="536" t="s">
        <v>19</v>
      </c>
      <c r="E33" s="528" t="s">
        <v>430</v>
      </c>
      <c r="F33" s="508">
        <f>F34+F35+F36+F37</f>
        <v>1000</v>
      </c>
      <c r="G33" s="512">
        <f>G34+G35+G36+G37</f>
        <v>0</v>
      </c>
      <c r="H33" s="512">
        <f>H34+H35+H36+H37</f>
        <v>0</v>
      </c>
      <c r="I33" s="512">
        <v>0</v>
      </c>
      <c r="J33" s="511">
        <f>J34+J35+J36+J37</f>
        <v>500</v>
      </c>
      <c r="K33" s="554">
        <f t="shared" si="1"/>
        <v>500</v>
      </c>
      <c r="M33" s="216"/>
    </row>
    <row r="34" spans="1:13" s="214" customFormat="1" ht="15.75">
      <c r="A34" s="553"/>
      <c r="B34" s="213" t="s">
        <v>14</v>
      </c>
      <c r="C34" s="527"/>
      <c r="D34" s="538"/>
      <c r="E34" s="525" t="s">
        <v>432</v>
      </c>
      <c r="F34" s="509">
        <v>800</v>
      </c>
      <c r="G34" s="513">
        <v>0</v>
      </c>
      <c r="H34" s="513">
        <v>0</v>
      </c>
      <c r="I34" s="515">
        <v>0</v>
      </c>
      <c r="J34" s="515">
        <v>400</v>
      </c>
      <c r="K34" s="554">
        <f t="shared" si="1"/>
        <v>400</v>
      </c>
      <c r="M34" s="216"/>
    </row>
    <row r="35" spans="1:13" s="214" customFormat="1" ht="25.5">
      <c r="A35" s="553"/>
      <c r="B35" s="213" t="s">
        <v>17</v>
      </c>
      <c r="C35" s="527"/>
      <c r="D35" s="538"/>
      <c r="E35" s="525" t="s">
        <v>433</v>
      </c>
      <c r="F35" s="509">
        <v>50</v>
      </c>
      <c r="G35" s="513">
        <v>0</v>
      </c>
      <c r="H35" s="513">
        <v>0</v>
      </c>
      <c r="I35" s="513">
        <v>0</v>
      </c>
      <c r="J35" s="515">
        <v>25</v>
      </c>
      <c r="K35" s="554">
        <f t="shared" si="1"/>
        <v>25</v>
      </c>
      <c r="M35" s="216"/>
    </row>
    <row r="36" spans="1:13" s="214" customFormat="1" ht="18.75" customHeight="1">
      <c r="A36" s="553"/>
      <c r="B36" s="798" t="s">
        <v>18</v>
      </c>
      <c r="C36" s="527"/>
      <c r="D36" s="538"/>
      <c r="E36" s="525" t="s">
        <v>427</v>
      </c>
      <c r="F36" s="509">
        <v>150</v>
      </c>
      <c r="G36" s="513">
        <v>0</v>
      </c>
      <c r="H36" s="513">
        <v>0</v>
      </c>
      <c r="I36" s="515">
        <v>0</v>
      </c>
      <c r="J36" s="515">
        <v>75</v>
      </c>
      <c r="K36" s="554">
        <f t="shared" si="1"/>
        <v>75</v>
      </c>
      <c r="M36" s="216"/>
    </row>
    <row r="37" spans="1:13" s="214" customFormat="1" ht="18.75" customHeight="1" thickBot="1">
      <c r="A37" s="557"/>
      <c r="B37" s="799"/>
      <c r="C37" s="563"/>
      <c r="D37" s="559"/>
      <c r="E37" s="526" t="s">
        <v>653</v>
      </c>
      <c r="F37" s="510">
        <v>0</v>
      </c>
      <c r="G37" s="565"/>
      <c r="H37" s="514"/>
      <c r="I37" s="514"/>
      <c r="J37" s="514"/>
      <c r="K37" s="560"/>
      <c r="M37" s="216"/>
    </row>
    <row r="38" spans="1:11" s="215" customFormat="1" ht="18.75" customHeight="1">
      <c r="A38" s="555" t="s">
        <v>78</v>
      </c>
      <c r="B38" s="436" t="s">
        <v>12</v>
      </c>
      <c r="C38" s="527"/>
      <c r="D38" s="538" t="s">
        <v>20</v>
      </c>
      <c r="E38" s="529" t="s">
        <v>430</v>
      </c>
      <c r="F38" s="512">
        <f>F39+F40+F41+F42</f>
        <v>507</v>
      </c>
      <c r="G38" s="512">
        <f>G39+G40+G41+G42</f>
        <v>7</v>
      </c>
      <c r="H38" s="512">
        <f>H39+H40+H41+H42</f>
        <v>100</v>
      </c>
      <c r="I38" s="512">
        <f>I39+I40+I41+I42</f>
        <v>400</v>
      </c>
      <c r="J38" s="512">
        <f>J39+J40+J41+J42</f>
        <v>0</v>
      </c>
      <c r="K38" s="552">
        <f aca="true" t="shared" si="2" ref="K38:K63">H38+I38+J38</f>
        <v>500</v>
      </c>
    </row>
    <row r="39" spans="1:11" s="212" customFormat="1" ht="15.75">
      <c r="A39" s="553"/>
      <c r="B39" s="213" t="s">
        <v>14</v>
      </c>
      <c r="C39" s="527"/>
      <c r="D39" s="538"/>
      <c r="E39" s="525" t="s">
        <v>432</v>
      </c>
      <c r="F39" s="509">
        <v>132</v>
      </c>
      <c r="G39" s="509">
        <v>7</v>
      </c>
      <c r="H39" s="509">
        <v>25</v>
      </c>
      <c r="I39" s="509">
        <v>100</v>
      </c>
      <c r="J39" s="513">
        <v>0</v>
      </c>
      <c r="K39" s="554">
        <f t="shared" si="2"/>
        <v>125</v>
      </c>
    </row>
    <row r="40" spans="1:11" s="212" customFormat="1" ht="18" customHeight="1">
      <c r="A40" s="553"/>
      <c r="B40" s="213" t="s">
        <v>591</v>
      </c>
      <c r="C40" s="527"/>
      <c r="D40" s="538"/>
      <c r="E40" s="525" t="s">
        <v>433</v>
      </c>
      <c r="F40" s="509">
        <v>0</v>
      </c>
      <c r="G40" s="509">
        <v>0</v>
      </c>
      <c r="H40" s="509">
        <v>0</v>
      </c>
      <c r="I40" s="509">
        <v>0</v>
      </c>
      <c r="J40" s="513">
        <v>0</v>
      </c>
      <c r="K40" s="554">
        <f t="shared" si="2"/>
        <v>0</v>
      </c>
    </row>
    <row r="41" spans="1:11" s="212" customFormat="1" ht="18.75" customHeight="1">
      <c r="A41" s="553"/>
      <c r="B41" s="798" t="s">
        <v>27</v>
      </c>
      <c r="C41" s="527"/>
      <c r="D41" s="538"/>
      <c r="E41" s="525" t="s">
        <v>427</v>
      </c>
      <c r="F41" s="509">
        <v>375</v>
      </c>
      <c r="G41" s="509">
        <v>0</v>
      </c>
      <c r="H41" s="509">
        <v>75</v>
      </c>
      <c r="I41" s="509">
        <v>300</v>
      </c>
      <c r="J41" s="513">
        <v>0</v>
      </c>
      <c r="K41" s="554">
        <f t="shared" si="2"/>
        <v>375</v>
      </c>
    </row>
    <row r="42" spans="1:15" s="217" customFormat="1" ht="18.75" customHeight="1" thickBot="1">
      <c r="A42" s="557"/>
      <c r="B42" s="799"/>
      <c r="C42" s="563"/>
      <c r="D42" s="559"/>
      <c r="E42" s="526" t="s">
        <v>653</v>
      </c>
      <c r="F42" s="510">
        <v>0</v>
      </c>
      <c r="G42" s="510">
        <v>0</v>
      </c>
      <c r="H42" s="510">
        <v>0</v>
      </c>
      <c r="I42" s="510">
        <v>0</v>
      </c>
      <c r="J42" s="514">
        <v>0</v>
      </c>
      <c r="K42" s="560">
        <f t="shared" si="2"/>
        <v>0</v>
      </c>
      <c r="L42" s="214"/>
      <c r="M42" s="216"/>
      <c r="N42" s="214"/>
      <c r="O42" s="214"/>
    </row>
    <row r="43" spans="1:11" s="212" customFormat="1" ht="18.75" customHeight="1">
      <c r="A43" s="555" t="s">
        <v>80</v>
      </c>
      <c r="B43" s="436" t="s">
        <v>12</v>
      </c>
      <c r="C43" s="535"/>
      <c r="D43" s="539" t="s">
        <v>21</v>
      </c>
      <c r="E43" s="529" t="s">
        <v>430</v>
      </c>
      <c r="F43" s="512">
        <f>F44+F45+F46+F47</f>
        <v>440</v>
      </c>
      <c r="G43" s="512">
        <f>G44+G45+G46+G47</f>
        <v>40</v>
      </c>
      <c r="H43" s="512">
        <f>H44+H45+H46+H47</f>
        <v>400</v>
      </c>
      <c r="I43" s="512">
        <f>I44+I45+I46+I47</f>
        <v>0</v>
      </c>
      <c r="J43" s="512">
        <f>J44+J45+J46+J47</f>
        <v>0</v>
      </c>
      <c r="K43" s="552">
        <f t="shared" si="2"/>
        <v>400</v>
      </c>
    </row>
    <row r="44" spans="1:11" s="212" customFormat="1" ht="18.75" customHeight="1">
      <c r="A44" s="553"/>
      <c r="B44" s="213" t="s">
        <v>14</v>
      </c>
      <c r="C44" s="535"/>
      <c r="D44" s="537"/>
      <c r="E44" s="525" t="s">
        <v>432</v>
      </c>
      <c r="F44" s="509">
        <v>60</v>
      </c>
      <c r="G44" s="509">
        <v>40</v>
      </c>
      <c r="H44" s="518">
        <v>20</v>
      </c>
      <c r="I44" s="513">
        <v>0</v>
      </c>
      <c r="J44" s="513">
        <v>0</v>
      </c>
      <c r="K44" s="554">
        <f t="shared" si="2"/>
        <v>20</v>
      </c>
    </row>
    <row r="45" spans="1:11" s="212" customFormat="1" ht="18.75" customHeight="1">
      <c r="A45" s="553"/>
      <c r="B45" s="213" t="s">
        <v>591</v>
      </c>
      <c r="C45" s="535"/>
      <c r="D45" s="537"/>
      <c r="E45" s="525" t="s">
        <v>433</v>
      </c>
      <c r="F45" s="509">
        <v>20</v>
      </c>
      <c r="G45" s="509">
        <v>0</v>
      </c>
      <c r="H45" s="518">
        <v>20</v>
      </c>
      <c r="I45" s="513">
        <v>0</v>
      </c>
      <c r="J45" s="513">
        <v>0</v>
      </c>
      <c r="K45" s="554">
        <f t="shared" si="2"/>
        <v>20</v>
      </c>
    </row>
    <row r="46" spans="1:11" s="212" customFormat="1" ht="18.75" customHeight="1">
      <c r="A46" s="553"/>
      <c r="B46" s="798" t="s">
        <v>28</v>
      </c>
      <c r="C46" s="535"/>
      <c r="D46" s="537"/>
      <c r="E46" s="530" t="s">
        <v>620</v>
      </c>
      <c r="F46" s="509">
        <v>360</v>
      </c>
      <c r="G46" s="509">
        <v>0</v>
      </c>
      <c r="H46" s="518">
        <v>360</v>
      </c>
      <c r="I46" s="513">
        <v>0</v>
      </c>
      <c r="J46" s="513">
        <v>0</v>
      </c>
      <c r="K46" s="554">
        <f t="shared" si="2"/>
        <v>360</v>
      </c>
    </row>
    <row r="47" spans="1:11" s="212" customFormat="1" ht="18.75" customHeight="1" thickBot="1">
      <c r="A47" s="557"/>
      <c r="B47" s="799"/>
      <c r="C47" s="558"/>
      <c r="D47" s="561"/>
      <c r="E47" s="526" t="s">
        <v>621</v>
      </c>
      <c r="F47" s="510">
        <v>0</v>
      </c>
      <c r="G47" s="510">
        <v>0</v>
      </c>
      <c r="H47" s="514">
        <v>0</v>
      </c>
      <c r="I47" s="514">
        <v>0</v>
      </c>
      <c r="J47" s="514">
        <v>0</v>
      </c>
      <c r="K47" s="560">
        <f t="shared" si="2"/>
        <v>0</v>
      </c>
    </row>
    <row r="48" spans="1:11" s="212" customFormat="1" ht="18.75" customHeight="1">
      <c r="A48" s="555" t="s">
        <v>86</v>
      </c>
      <c r="B48" s="434" t="s">
        <v>29</v>
      </c>
      <c r="C48" s="535">
        <v>76</v>
      </c>
      <c r="D48" s="537" t="s">
        <v>429</v>
      </c>
      <c r="E48" s="529" t="s">
        <v>425</v>
      </c>
      <c r="F48" s="512">
        <f>F49+F50+F51+F52</f>
        <v>2900</v>
      </c>
      <c r="G48" s="520">
        <v>92</v>
      </c>
      <c r="H48" s="512">
        <f>H49+H50+H51+H52</f>
        <v>2808</v>
      </c>
      <c r="I48" s="512">
        <f>I49+I50+I51+I52</f>
        <v>0</v>
      </c>
      <c r="J48" s="512">
        <f>J49+J50+J51+J52</f>
        <v>0</v>
      </c>
      <c r="K48" s="552">
        <f t="shared" si="2"/>
        <v>2808</v>
      </c>
    </row>
    <row r="49" spans="1:11" s="212" customFormat="1" ht="25.5">
      <c r="A49" s="553"/>
      <c r="B49" s="213" t="s">
        <v>589</v>
      </c>
      <c r="C49" s="535"/>
      <c r="D49" s="537"/>
      <c r="E49" s="525" t="s">
        <v>432</v>
      </c>
      <c r="F49" s="509">
        <v>95</v>
      </c>
      <c r="G49" s="509">
        <v>92</v>
      </c>
      <c r="H49" s="509">
        <v>3</v>
      </c>
      <c r="I49" s="513">
        <v>0</v>
      </c>
      <c r="J49" s="513">
        <v>0</v>
      </c>
      <c r="K49" s="554">
        <f t="shared" si="2"/>
        <v>3</v>
      </c>
    </row>
    <row r="50" spans="1:11" s="212" customFormat="1" ht="18.75" customHeight="1">
      <c r="A50" s="553"/>
      <c r="B50" s="213" t="s">
        <v>30</v>
      </c>
      <c r="C50" s="535"/>
      <c r="D50" s="537"/>
      <c r="E50" s="525" t="s">
        <v>433</v>
      </c>
      <c r="F50" s="509">
        <v>0</v>
      </c>
      <c r="G50" s="509">
        <v>0</v>
      </c>
      <c r="H50" s="509">
        <v>0</v>
      </c>
      <c r="I50" s="509"/>
      <c r="J50" s="513">
        <v>0</v>
      </c>
      <c r="K50" s="554">
        <f t="shared" si="2"/>
        <v>0</v>
      </c>
    </row>
    <row r="51" spans="1:11" s="212" customFormat="1" ht="18.75" customHeight="1">
      <c r="A51" s="553"/>
      <c r="B51" s="798" t="s">
        <v>31</v>
      </c>
      <c r="C51" s="535"/>
      <c r="D51" s="537"/>
      <c r="E51" s="525" t="s">
        <v>427</v>
      </c>
      <c r="F51" s="509">
        <v>340</v>
      </c>
      <c r="G51" s="509">
        <v>0</v>
      </c>
      <c r="H51" s="509">
        <v>340</v>
      </c>
      <c r="I51" s="513">
        <v>0</v>
      </c>
      <c r="J51" s="513">
        <v>0</v>
      </c>
      <c r="K51" s="554">
        <f t="shared" si="2"/>
        <v>340</v>
      </c>
    </row>
    <row r="52" spans="1:11" s="212" customFormat="1" ht="18.75" customHeight="1" thickBot="1">
      <c r="A52" s="557"/>
      <c r="B52" s="799"/>
      <c r="C52" s="558"/>
      <c r="D52" s="561"/>
      <c r="E52" s="526" t="s">
        <v>428</v>
      </c>
      <c r="F52" s="510">
        <v>2465</v>
      </c>
      <c r="G52" s="510">
        <v>0</v>
      </c>
      <c r="H52" s="510">
        <v>2465</v>
      </c>
      <c r="I52" s="514">
        <v>0</v>
      </c>
      <c r="J52" s="514">
        <v>0</v>
      </c>
      <c r="K52" s="560">
        <f t="shared" si="2"/>
        <v>2465</v>
      </c>
    </row>
    <row r="53" spans="1:13" s="214" customFormat="1" ht="15.75">
      <c r="A53" s="555" t="s">
        <v>452</v>
      </c>
      <c r="B53" s="434" t="s">
        <v>29</v>
      </c>
      <c r="C53" s="535">
        <v>75</v>
      </c>
      <c r="D53" s="537"/>
      <c r="E53" s="529" t="s">
        <v>430</v>
      </c>
      <c r="F53" s="512">
        <f>F54+F55+F56+F57</f>
        <v>1300</v>
      </c>
      <c r="G53" s="512">
        <f>G54+G55+G56+G57</f>
        <v>15</v>
      </c>
      <c r="H53" s="512">
        <f>H54+H55+H56+H57</f>
        <v>200</v>
      </c>
      <c r="I53" s="512">
        <f>I54+I55+I56+I57</f>
        <v>300</v>
      </c>
      <c r="J53" s="512">
        <f>J54+J55+J56+J57</f>
        <v>300</v>
      </c>
      <c r="K53" s="552">
        <f t="shared" si="2"/>
        <v>800</v>
      </c>
      <c r="M53" s="216"/>
    </row>
    <row r="54" spans="1:13" s="214" customFormat="1" ht="25.5">
      <c r="A54" s="553"/>
      <c r="B54" s="213" t="s">
        <v>32</v>
      </c>
      <c r="C54" s="535"/>
      <c r="D54" s="537"/>
      <c r="E54" s="525" t="s">
        <v>587</v>
      </c>
      <c r="F54" s="509">
        <v>60</v>
      </c>
      <c r="G54" s="515">
        <v>15</v>
      </c>
      <c r="H54" s="515">
        <v>10</v>
      </c>
      <c r="I54" s="515">
        <v>25</v>
      </c>
      <c r="J54" s="509">
        <v>5</v>
      </c>
      <c r="K54" s="554">
        <f t="shared" si="2"/>
        <v>40</v>
      </c>
      <c r="M54" s="216"/>
    </row>
    <row r="55" spans="1:13" s="214" customFormat="1" ht="38.25">
      <c r="A55" s="553"/>
      <c r="B55" s="213" t="s">
        <v>33</v>
      </c>
      <c r="C55" s="535"/>
      <c r="D55" s="537"/>
      <c r="E55" s="525" t="s">
        <v>433</v>
      </c>
      <c r="F55" s="509">
        <v>150</v>
      </c>
      <c r="G55" s="513">
        <v>0</v>
      </c>
      <c r="H55" s="515">
        <v>30</v>
      </c>
      <c r="I55" s="515">
        <v>50</v>
      </c>
      <c r="J55" s="509">
        <v>30</v>
      </c>
      <c r="K55" s="554">
        <f t="shared" si="2"/>
        <v>110</v>
      </c>
      <c r="M55" s="216"/>
    </row>
    <row r="56" spans="1:13" s="214" customFormat="1" ht="18.75" customHeight="1">
      <c r="A56" s="553"/>
      <c r="B56" s="798" t="s">
        <v>34</v>
      </c>
      <c r="C56" s="535"/>
      <c r="D56" s="537"/>
      <c r="E56" s="525" t="s">
        <v>427</v>
      </c>
      <c r="F56" s="509">
        <v>90</v>
      </c>
      <c r="G56" s="513">
        <v>0</v>
      </c>
      <c r="H56" s="515">
        <v>10</v>
      </c>
      <c r="I56" s="515">
        <v>25</v>
      </c>
      <c r="J56" s="509">
        <v>15</v>
      </c>
      <c r="K56" s="554">
        <f t="shared" si="2"/>
        <v>50</v>
      </c>
      <c r="M56" s="216"/>
    </row>
    <row r="57" spans="1:13" s="214" customFormat="1" ht="18.75" customHeight="1" thickBot="1">
      <c r="A57" s="557"/>
      <c r="B57" s="799"/>
      <c r="C57" s="558"/>
      <c r="D57" s="561"/>
      <c r="E57" s="526" t="s">
        <v>431</v>
      </c>
      <c r="F57" s="510">
        <v>1000</v>
      </c>
      <c r="G57" s="514">
        <v>0</v>
      </c>
      <c r="H57" s="519">
        <v>150</v>
      </c>
      <c r="I57" s="519">
        <v>200</v>
      </c>
      <c r="J57" s="510">
        <v>250</v>
      </c>
      <c r="K57" s="560">
        <f t="shared" si="2"/>
        <v>600</v>
      </c>
      <c r="M57" s="216"/>
    </row>
    <row r="58" spans="1:11" s="210" customFormat="1" ht="9" customHeight="1" thickBot="1">
      <c r="A58" s="501"/>
      <c r="B58" s="501"/>
      <c r="C58" s="501"/>
      <c r="D58" s="501"/>
      <c r="E58" s="501"/>
      <c r="F58" s="501"/>
      <c r="G58" s="501"/>
      <c r="H58" s="501"/>
      <c r="I58" s="501"/>
      <c r="J58" s="501"/>
      <c r="K58" s="502"/>
    </row>
    <row r="59" spans="1:11" s="210" customFormat="1" ht="24" customHeight="1">
      <c r="A59" s="814" t="s">
        <v>37</v>
      </c>
      <c r="B59" s="800" t="s">
        <v>118</v>
      </c>
      <c r="C59" s="800" t="s">
        <v>119</v>
      </c>
      <c r="D59" s="800" t="s">
        <v>435</v>
      </c>
      <c r="E59" s="803" t="s">
        <v>421</v>
      </c>
      <c r="F59" s="804"/>
      <c r="G59" s="805"/>
      <c r="H59" s="806" t="s">
        <v>619</v>
      </c>
      <c r="I59" s="807"/>
      <c r="J59" s="807"/>
      <c r="K59" s="808"/>
    </row>
    <row r="60" spans="1:11" s="210" customFormat="1" ht="6" customHeight="1">
      <c r="A60" s="815"/>
      <c r="B60" s="801"/>
      <c r="C60" s="801"/>
      <c r="D60" s="801"/>
      <c r="E60" s="801" t="s">
        <v>422</v>
      </c>
      <c r="F60" s="801" t="s">
        <v>6</v>
      </c>
      <c r="G60" s="812" t="s">
        <v>7</v>
      </c>
      <c r="H60" s="809"/>
      <c r="I60" s="810"/>
      <c r="J60" s="810"/>
      <c r="K60" s="811"/>
    </row>
    <row r="61" spans="1:11" s="210" customFormat="1" ht="21" customHeight="1" thickBot="1">
      <c r="A61" s="816"/>
      <c r="B61" s="802"/>
      <c r="C61" s="802"/>
      <c r="D61" s="802"/>
      <c r="E61" s="802"/>
      <c r="F61" s="802"/>
      <c r="G61" s="813"/>
      <c r="H61" s="505" t="s">
        <v>628</v>
      </c>
      <c r="I61" s="505" t="s">
        <v>423</v>
      </c>
      <c r="J61" s="505" t="s">
        <v>506</v>
      </c>
      <c r="K61" s="506" t="s">
        <v>2</v>
      </c>
    </row>
    <row r="62" spans="1:11" s="211" customFormat="1" ht="8.25" customHeight="1">
      <c r="A62" s="549">
        <v>1</v>
      </c>
      <c r="B62" s="503">
        <v>2</v>
      </c>
      <c r="C62" s="503">
        <v>3</v>
      </c>
      <c r="D62" s="503">
        <v>4</v>
      </c>
      <c r="E62" s="503">
        <v>5</v>
      </c>
      <c r="F62" s="504">
        <v>6</v>
      </c>
      <c r="G62" s="504">
        <v>7</v>
      </c>
      <c r="H62" s="504">
        <v>8</v>
      </c>
      <c r="I62" s="504">
        <v>9</v>
      </c>
      <c r="J62" s="504">
        <v>10</v>
      </c>
      <c r="K62" s="550">
        <v>11</v>
      </c>
    </row>
    <row r="63" spans="1:13" s="214" customFormat="1" ht="19.5" customHeight="1">
      <c r="A63" s="555" t="s">
        <v>464</v>
      </c>
      <c r="B63" s="566" t="s">
        <v>5</v>
      </c>
      <c r="C63" s="535">
        <v>75</v>
      </c>
      <c r="D63" s="538" t="s">
        <v>22</v>
      </c>
      <c r="E63" s="529" t="s">
        <v>430</v>
      </c>
      <c r="F63" s="511">
        <f>F64+F65+F66+F67</f>
        <v>300</v>
      </c>
      <c r="G63" s="511">
        <f>G64+G65+G66+G67</f>
        <v>0</v>
      </c>
      <c r="H63" s="511">
        <f>H64+H65+H66+H67</f>
        <v>0</v>
      </c>
      <c r="I63" s="511">
        <f>I64+I65+I66+I67</f>
        <v>300</v>
      </c>
      <c r="J63" s="512">
        <f>J64+J65+J66+J67</f>
        <v>0</v>
      </c>
      <c r="K63" s="554">
        <f t="shared" si="2"/>
        <v>300</v>
      </c>
      <c r="M63" s="216"/>
    </row>
    <row r="64" spans="1:13" s="214" customFormat="1" ht="25.5" customHeight="1">
      <c r="A64" s="553"/>
      <c r="B64" s="213" t="s">
        <v>35</v>
      </c>
      <c r="C64" s="535"/>
      <c r="D64" s="538"/>
      <c r="E64" s="525" t="s">
        <v>587</v>
      </c>
      <c r="F64" s="509">
        <v>75</v>
      </c>
      <c r="G64" s="509"/>
      <c r="H64" s="513">
        <v>0</v>
      </c>
      <c r="I64" s="509">
        <v>75</v>
      </c>
      <c r="J64" s="513">
        <v>0</v>
      </c>
      <c r="K64" s="554">
        <f aca="true" t="shared" si="3" ref="K64:K100">H64+I64+J64</f>
        <v>75</v>
      </c>
      <c r="M64" s="216"/>
    </row>
    <row r="65" spans="1:13" s="214" customFormat="1" ht="38.25">
      <c r="A65" s="553"/>
      <c r="B65" s="213" t="s">
        <v>33</v>
      </c>
      <c r="C65" s="535"/>
      <c r="D65" s="538"/>
      <c r="E65" s="525" t="s">
        <v>433</v>
      </c>
      <c r="F65" s="509">
        <v>0</v>
      </c>
      <c r="G65" s="513">
        <v>0</v>
      </c>
      <c r="H65" s="513">
        <v>0</v>
      </c>
      <c r="I65" s="509">
        <v>0</v>
      </c>
      <c r="J65" s="513">
        <v>0</v>
      </c>
      <c r="K65" s="554">
        <f t="shared" si="3"/>
        <v>0</v>
      </c>
      <c r="M65" s="216"/>
    </row>
    <row r="66" spans="1:13" s="214" customFormat="1" ht="15.75" customHeight="1">
      <c r="A66" s="553"/>
      <c r="B66" s="798" t="s">
        <v>36</v>
      </c>
      <c r="C66" s="535"/>
      <c r="D66" s="538"/>
      <c r="E66" s="525" t="s">
        <v>427</v>
      </c>
      <c r="F66" s="509">
        <v>0</v>
      </c>
      <c r="G66" s="513">
        <v>0</v>
      </c>
      <c r="H66" s="513">
        <v>0</v>
      </c>
      <c r="I66" s="509">
        <v>0</v>
      </c>
      <c r="J66" s="513">
        <v>0</v>
      </c>
      <c r="K66" s="554">
        <f t="shared" si="3"/>
        <v>0</v>
      </c>
      <c r="M66" s="216"/>
    </row>
    <row r="67" spans="1:13" s="214" customFormat="1" ht="15.75" customHeight="1" thickBot="1">
      <c r="A67" s="557"/>
      <c r="B67" s="799"/>
      <c r="C67" s="558"/>
      <c r="D67" s="559"/>
      <c r="E67" s="526" t="s">
        <v>431</v>
      </c>
      <c r="F67" s="510">
        <v>225</v>
      </c>
      <c r="G67" s="514">
        <v>0</v>
      </c>
      <c r="H67" s="514">
        <v>0</v>
      </c>
      <c r="I67" s="510">
        <v>225</v>
      </c>
      <c r="J67" s="510"/>
      <c r="K67" s="560">
        <f t="shared" si="3"/>
        <v>225</v>
      </c>
      <c r="M67" s="216"/>
    </row>
    <row r="68" spans="1:13" s="214" customFormat="1" ht="18.75" customHeight="1">
      <c r="A68" s="555" t="s">
        <v>595</v>
      </c>
      <c r="B68" s="436" t="s">
        <v>5</v>
      </c>
      <c r="C68" s="535">
        <v>75</v>
      </c>
      <c r="D68" s="538" t="s">
        <v>23</v>
      </c>
      <c r="E68" s="529" t="s">
        <v>430</v>
      </c>
      <c r="F68" s="512">
        <f>F69+F70+F71+F72</f>
        <v>1000</v>
      </c>
      <c r="G68" s="512">
        <f>G69+G70+G71+G72</f>
        <v>0</v>
      </c>
      <c r="H68" s="512">
        <f>H69+H70+H71+H72</f>
        <v>0</v>
      </c>
      <c r="I68" s="512">
        <f>I69+I70+I71+I72</f>
        <v>0</v>
      </c>
      <c r="J68" s="512">
        <f>J69+J70+J71+J72</f>
        <v>1000</v>
      </c>
      <c r="K68" s="552">
        <f t="shared" si="3"/>
        <v>1000</v>
      </c>
      <c r="M68" s="216"/>
    </row>
    <row r="69" spans="1:13" s="214" customFormat="1" ht="25.5">
      <c r="A69" s="553"/>
      <c r="B69" s="213" t="s">
        <v>35</v>
      </c>
      <c r="C69" s="535"/>
      <c r="D69" s="538"/>
      <c r="E69" s="525" t="s">
        <v>587</v>
      </c>
      <c r="F69" s="509">
        <v>110</v>
      </c>
      <c r="G69" s="513">
        <v>0</v>
      </c>
      <c r="H69" s="513">
        <v>0</v>
      </c>
      <c r="I69" s="513">
        <v>0</v>
      </c>
      <c r="J69" s="509">
        <v>110</v>
      </c>
      <c r="K69" s="554">
        <f t="shared" si="3"/>
        <v>110</v>
      </c>
      <c r="M69" s="216"/>
    </row>
    <row r="70" spans="1:13" s="214" customFormat="1" ht="38.25">
      <c r="A70" s="553"/>
      <c r="B70" s="213" t="s">
        <v>33</v>
      </c>
      <c r="C70" s="535"/>
      <c r="D70" s="538"/>
      <c r="E70" s="525" t="s">
        <v>433</v>
      </c>
      <c r="F70" s="509">
        <v>0</v>
      </c>
      <c r="G70" s="513">
        <v>0</v>
      </c>
      <c r="H70" s="513">
        <v>0</v>
      </c>
      <c r="I70" s="513">
        <v>0</v>
      </c>
      <c r="J70" s="509">
        <v>0</v>
      </c>
      <c r="K70" s="554">
        <f t="shared" si="3"/>
        <v>0</v>
      </c>
      <c r="M70" s="216"/>
    </row>
    <row r="71" spans="1:13" s="214" customFormat="1" ht="15.75" customHeight="1">
      <c r="A71" s="553"/>
      <c r="B71" s="798" t="s">
        <v>38</v>
      </c>
      <c r="C71" s="535"/>
      <c r="D71" s="538"/>
      <c r="E71" s="525" t="s">
        <v>427</v>
      </c>
      <c r="F71" s="509">
        <v>40</v>
      </c>
      <c r="G71" s="513">
        <v>0</v>
      </c>
      <c r="H71" s="513">
        <v>0</v>
      </c>
      <c r="I71" s="513">
        <v>0</v>
      </c>
      <c r="J71" s="509">
        <v>40</v>
      </c>
      <c r="K71" s="554">
        <f t="shared" si="3"/>
        <v>40</v>
      </c>
      <c r="M71" s="216"/>
    </row>
    <row r="72" spans="1:13" s="214" customFormat="1" ht="15.75" customHeight="1" thickBot="1">
      <c r="A72" s="557"/>
      <c r="B72" s="799"/>
      <c r="C72" s="558"/>
      <c r="D72" s="559"/>
      <c r="E72" s="526" t="s">
        <v>431</v>
      </c>
      <c r="F72" s="510">
        <v>850</v>
      </c>
      <c r="G72" s="514">
        <v>0</v>
      </c>
      <c r="H72" s="514">
        <v>0</v>
      </c>
      <c r="I72" s="514">
        <v>0</v>
      </c>
      <c r="J72" s="510">
        <v>850</v>
      </c>
      <c r="K72" s="560">
        <f t="shared" si="3"/>
        <v>850</v>
      </c>
      <c r="M72" s="216"/>
    </row>
    <row r="73" spans="1:13" s="214" customFormat="1" ht="18.75" customHeight="1">
      <c r="A73" s="555" t="s">
        <v>596</v>
      </c>
      <c r="B73" s="436" t="s">
        <v>5</v>
      </c>
      <c r="C73" s="535">
        <v>75</v>
      </c>
      <c r="D73" s="538" t="s">
        <v>22</v>
      </c>
      <c r="E73" s="529" t="s">
        <v>430</v>
      </c>
      <c r="F73" s="512">
        <f>F74+F75+F76+F77</f>
        <v>1600</v>
      </c>
      <c r="G73" s="512">
        <f>G74+G75+G76+G77</f>
        <v>0</v>
      </c>
      <c r="H73" s="512">
        <f>H74+H75+H76+H77</f>
        <v>0</v>
      </c>
      <c r="I73" s="512">
        <f>I74+I75+I76+I77</f>
        <v>1600</v>
      </c>
      <c r="J73" s="512">
        <f>J74+J75+J76+J77</f>
        <v>0</v>
      </c>
      <c r="K73" s="552">
        <f t="shared" si="3"/>
        <v>1600</v>
      </c>
      <c r="M73" s="216"/>
    </row>
    <row r="74" spans="1:13" s="214" customFormat="1" ht="25.5">
      <c r="A74" s="553"/>
      <c r="B74" s="213" t="s">
        <v>35</v>
      </c>
      <c r="C74" s="535"/>
      <c r="D74" s="538"/>
      <c r="E74" s="525" t="s">
        <v>587</v>
      </c>
      <c r="F74" s="509">
        <v>100</v>
      </c>
      <c r="G74" s="513">
        <v>0</v>
      </c>
      <c r="H74" s="513">
        <v>0</v>
      </c>
      <c r="I74" s="515">
        <v>100</v>
      </c>
      <c r="J74" s="509"/>
      <c r="K74" s="554">
        <f t="shared" si="3"/>
        <v>100</v>
      </c>
      <c r="M74" s="216"/>
    </row>
    <row r="75" spans="1:13" s="214" customFormat="1" ht="38.25">
      <c r="A75" s="553"/>
      <c r="B75" s="213" t="s">
        <v>33</v>
      </c>
      <c r="C75" s="535"/>
      <c r="D75" s="538"/>
      <c r="E75" s="525" t="s">
        <v>433</v>
      </c>
      <c r="F75" s="509">
        <v>0</v>
      </c>
      <c r="G75" s="513">
        <v>0</v>
      </c>
      <c r="H75" s="513">
        <v>0</v>
      </c>
      <c r="I75" s="513">
        <v>0</v>
      </c>
      <c r="J75" s="509"/>
      <c r="K75" s="554">
        <f t="shared" si="3"/>
        <v>0</v>
      </c>
      <c r="M75" s="216"/>
    </row>
    <row r="76" spans="1:13" s="214" customFormat="1" ht="15.75" customHeight="1">
      <c r="A76" s="553"/>
      <c r="B76" s="798" t="s">
        <v>41</v>
      </c>
      <c r="C76" s="535"/>
      <c r="D76" s="538"/>
      <c r="E76" s="525" t="s">
        <v>427</v>
      </c>
      <c r="F76" s="509">
        <v>140</v>
      </c>
      <c r="G76" s="513">
        <v>0</v>
      </c>
      <c r="H76" s="513">
        <v>0</v>
      </c>
      <c r="I76" s="515">
        <v>140</v>
      </c>
      <c r="J76" s="509"/>
      <c r="K76" s="554">
        <f t="shared" si="3"/>
        <v>140</v>
      </c>
      <c r="M76" s="216"/>
    </row>
    <row r="77" spans="1:13" s="214" customFormat="1" ht="15.75" customHeight="1" thickBot="1">
      <c r="A77" s="557"/>
      <c r="B77" s="799"/>
      <c r="C77" s="558"/>
      <c r="D77" s="559"/>
      <c r="E77" s="526" t="s">
        <v>431</v>
      </c>
      <c r="F77" s="510">
        <v>1360</v>
      </c>
      <c r="G77" s="514">
        <v>0</v>
      </c>
      <c r="H77" s="514">
        <v>0</v>
      </c>
      <c r="I77" s="519">
        <v>1360</v>
      </c>
      <c r="J77" s="510"/>
      <c r="K77" s="560">
        <f t="shared" si="3"/>
        <v>1360</v>
      </c>
      <c r="M77" s="216"/>
    </row>
    <row r="78" spans="1:13" s="214" customFormat="1" ht="19.5" customHeight="1">
      <c r="A78" s="555" t="s">
        <v>597</v>
      </c>
      <c r="B78" s="436" t="s">
        <v>5</v>
      </c>
      <c r="C78" s="535">
        <v>23</v>
      </c>
      <c r="D78" s="538">
        <v>600.60016</v>
      </c>
      <c r="E78" s="529" t="s">
        <v>430</v>
      </c>
      <c r="F78" s="512">
        <f>F79+F80+F81+F82</f>
        <v>610</v>
      </c>
      <c r="G78" s="512">
        <f>G79+G80+G81+G82</f>
        <v>0</v>
      </c>
      <c r="H78" s="512">
        <f>H79+H80+H81+H82</f>
        <v>10</v>
      </c>
      <c r="I78" s="512">
        <f>I79+I80+I81+I82</f>
        <v>600</v>
      </c>
      <c r="J78" s="512">
        <f>J79+J80+J81+J82</f>
        <v>0</v>
      </c>
      <c r="K78" s="552">
        <f t="shared" si="3"/>
        <v>610</v>
      </c>
      <c r="M78" s="216"/>
    </row>
    <row r="79" spans="1:13" s="214" customFormat="1" ht="25.5">
      <c r="A79" s="553"/>
      <c r="B79" s="213" t="s">
        <v>42</v>
      </c>
      <c r="C79" s="535"/>
      <c r="D79" s="538"/>
      <c r="E79" s="525" t="s">
        <v>587</v>
      </c>
      <c r="F79" s="509">
        <v>305</v>
      </c>
      <c r="G79" s="513">
        <v>0</v>
      </c>
      <c r="H79" s="509">
        <v>5</v>
      </c>
      <c r="I79" s="509">
        <v>300</v>
      </c>
      <c r="J79" s="513">
        <v>0</v>
      </c>
      <c r="K79" s="554">
        <f t="shared" si="3"/>
        <v>305</v>
      </c>
      <c r="M79" s="216"/>
    </row>
    <row r="80" spans="1:13" s="214" customFormat="1" ht="16.5" customHeight="1">
      <c r="A80" s="553"/>
      <c r="B80" s="213" t="s">
        <v>43</v>
      </c>
      <c r="C80" s="535"/>
      <c r="D80" s="538"/>
      <c r="E80" s="525" t="s">
        <v>433</v>
      </c>
      <c r="F80" s="509">
        <v>0</v>
      </c>
      <c r="G80" s="513">
        <v>0</v>
      </c>
      <c r="H80" s="509">
        <v>0</v>
      </c>
      <c r="I80" s="509">
        <v>0</v>
      </c>
      <c r="J80" s="513">
        <v>0</v>
      </c>
      <c r="K80" s="554">
        <f t="shared" si="3"/>
        <v>0</v>
      </c>
      <c r="M80" s="216"/>
    </row>
    <row r="81" spans="1:13" s="214" customFormat="1" ht="15.75" customHeight="1">
      <c r="A81" s="553"/>
      <c r="B81" s="798" t="s">
        <v>44</v>
      </c>
      <c r="C81" s="535"/>
      <c r="D81" s="538"/>
      <c r="E81" s="525" t="s">
        <v>427</v>
      </c>
      <c r="F81" s="509">
        <v>0</v>
      </c>
      <c r="G81" s="513">
        <v>0</v>
      </c>
      <c r="H81" s="509">
        <v>0</v>
      </c>
      <c r="I81" s="509">
        <v>0</v>
      </c>
      <c r="J81" s="513">
        <v>0</v>
      </c>
      <c r="K81" s="554">
        <f t="shared" si="3"/>
        <v>0</v>
      </c>
      <c r="M81" s="216"/>
    </row>
    <row r="82" spans="1:13" s="214" customFormat="1" ht="15.75" customHeight="1" thickBot="1">
      <c r="A82" s="557"/>
      <c r="B82" s="799"/>
      <c r="C82" s="558"/>
      <c r="D82" s="559"/>
      <c r="E82" s="526" t="s">
        <v>431</v>
      </c>
      <c r="F82" s="510">
        <v>305</v>
      </c>
      <c r="G82" s="514">
        <v>0</v>
      </c>
      <c r="H82" s="510">
        <v>5</v>
      </c>
      <c r="I82" s="510">
        <v>300</v>
      </c>
      <c r="J82" s="514">
        <v>0</v>
      </c>
      <c r="K82" s="560">
        <f t="shared" si="3"/>
        <v>305</v>
      </c>
      <c r="M82" s="216"/>
    </row>
    <row r="83" spans="1:13" s="214" customFormat="1" ht="15.75">
      <c r="A83" s="551" t="s">
        <v>598</v>
      </c>
      <c r="B83" s="436" t="s">
        <v>46</v>
      </c>
      <c r="C83" s="535"/>
      <c r="D83" s="538">
        <v>600.60016</v>
      </c>
      <c r="E83" s="529" t="s">
        <v>430</v>
      </c>
      <c r="F83" s="520">
        <f>F84+F85+F86+F87</f>
        <v>245.5</v>
      </c>
      <c r="G83" s="520">
        <f>G84+G85+G86+G87</f>
        <v>65.5</v>
      </c>
      <c r="H83" s="520">
        <f>H84+H85+H86+H87</f>
        <v>90</v>
      </c>
      <c r="I83" s="520">
        <f>I84+I85+I86+I87</f>
        <v>90</v>
      </c>
      <c r="J83" s="520">
        <f>J84+J85+J86+J87</f>
        <v>0</v>
      </c>
      <c r="K83" s="552">
        <f t="shared" si="3"/>
        <v>180</v>
      </c>
      <c r="M83" s="216"/>
    </row>
    <row r="84" spans="1:13" s="214" customFormat="1" ht="15.75">
      <c r="A84" s="553"/>
      <c r="B84" s="213" t="s">
        <v>14</v>
      </c>
      <c r="C84" s="535"/>
      <c r="D84" s="538"/>
      <c r="E84" s="525" t="s">
        <v>587</v>
      </c>
      <c r="F84" s="521">
        <v>225.5</v>
      </c>
      <c r="G84" s="513">
        <v>65.5</v>
      </c>
      <c r="H84" s="509">
        <v>80</v>
      </c>
      <c r="I84" s="509">
        <v>80</v>
      </c>
      <c r="J84" s="513">
        <v>0</v>
      </c>
      <c r="K84" s="554">
        <f t="shared" si="3"/>
        <v>160</v>
      </c>
      <c r="M84" s="216"/>
    </row>
    <row r="85" spans="1:13" s="214" customFormat="1" ht="15.75">
      <c r="A85" s="553"/>
      <c r="B85" s="213" t="s">
        <v>591</v>
      </c>
      <c r="C85" s="535"/>
      <c r="D85" s="538"/>
      <c r="E85" s="525" t="s">
        <v>433</v>
      </c>
      <c r="F85" s="509">
        <v>20</v>
      </c>
      <c r="G85" s="509"/>
      <c r="H85" s="509">
        <v>10</v>
      </c>
      <c r="I85" s="509">
        <v>10</v>
      </c>
      <c r="J85" s="513">
        <v>0</v>
      </c>
      <c r="K85" s="554">
        <f t="shared" si="3"/>
        <v>20</v>
      </c>
      <c r="M85" s="216"/>
    </row>
    <row r="86" spans="1:13" s="214" customFormat="1" ht="15.75" customHeight="1">
      <c r="A86" s="553"/>
      <c r="B86" s="798" t="s">
        <v>45</v>
      </c>
      <c r="C86" s="535"/>
      <c r="D86" s="538"/>
      <c r="E86" s="525" t="s">
        <v>427</v>
      </c>
      <c r="F86" s="509">
        <v>0</v>
      </c>
      <c r="G86" s="509"/>
      <c r="H86" s="509">
        <v>0</v>
      </c>
      <c r="I86" s="509"/>
      <c r="J86" s="513">
        <v>0</v>
      </c>
      <c r="K86" s="554">
        <f t="shared" si="3"/>
        <v>0</v>
      </c>
      <c r="M86" s="216"/>
    </row>
    <row r="87" spans="1:13" s="214" customFormat="1" ht="15.75" customHeight="1" thickBot="1">
      <c r="A87" s="557"/>
      <c r="B87" s="799"/>
      <c r="C87" s="558"/>
      <c r="D87" s="559"/>
      <c r="E87" s="526" t="s">
        <v>653</v>
      </c>
      <c r="F87" s="510">
        <v>0</v>
      </c>
      <c r="G87" s="510"/>
      <c r="H87" s="510">
        <v>0</v>
      </c>
      <c r="I87" s="510"/>
      <c r="J87" s="510"/>
      <c r="K87" s="560">
        <f t="shared" si="3"/>
        <v>0</v>
      </c>
      <c r="M87" s="216"/>
    </row>
    <row r="88" spans="1:11" s="210" customFormat="1" ht="9" customHeight="1" thickBot="1">
      <c r="A88" s="501"/>
      <c r="B88" s="501"/>
      <c r="C88" s="501"/>
      <c r="D88" s="501"/>
      <c r="E88" s="501"/>
      <c r="F88" s="501"/>
      <c r="G88" s="501"/>
      <c r="H88" s="501"/>
      <c r="I88" s="501"/>
      <c r="J88" s="501"/>
      <c r="K88" s="502"/>
    </row>
    <row r="89" spans="1:11" s="210" customFormat="1" ht="24" customHeight="1">
      <c r="A89" s="814" t="s">
        <v>37</v>
      </c>
      <c r="B89" s="800" t="s">
        <v>118</v>
      </c>
      <c r="C89" s="800" t="s">
        <v>119</v>
      </c>
      <c r="D89" s="800" t="s">
        <v>435</v>
      </c>
      <c r="E89" s="803" t="s">
        <v>421</v>
      </c>
      <c r="F89" s="804"/>
      <c r="G89" s="805"/>
      <c r="H89" s="806" t="s">
        <v>619</v>
      </c>
      <c r="I89" s="807"/>
      <c r="J89" s="807"/>
      <c r="K89" s="808"/>
    </row>
    <row r="90" spans="1:11" s="210" customFormat="1" ht="6" customHeight="1">
      <c r="A90" s="815"/>
      <c r="B90" s="801"/>
      <c r="C90" s="801"/>
      <c r="D90" s="801"/>
      <c r="E90" s="801" t="s">
        <v>422</v>
      </c>
      <c r="F90" s="801" t="s">
        <v>6</v>
      </c>
      <c r="G90" s="812" t="s">
        <v>7</v>
      </c>
      <c r="H90" s="809"/>
      <c r="I90" s="810"/>
      <c r="J90" s="810"/>
      <c r="K90" s="811"/>
    </row>
    <row r="91" spans="1:11" s="210" customFormat="1" ht="21" customHeight="1" thickBot="1">
      <c r="A91" s="816"/>
      <c r="B91" s="802"/>
      <c r="C91" s="802"/>
      <c r="D91" s="802"/>
      <c r="E91" s="802"/>
      <c r="F91" s="802"/>
      <c r="G91" s="813"/>
      <c r="H91" s="505" t="s">
        <v>628</v>
      </c>
      <c r="I91" s="505" t="s">
        <v>423</v>
      </c>
      <c r="J91" s="505" t="s">
        <v>506</v>
      </c>
      <c r="K91" s="506" t="s">
        <v>2</v>
      </c>
    </row>
    <row r="92" spans="1:11" s="211" customFormat="1" ht="8.25" customHeight="1">
      <c r="A92" s="549">
        <v>1</v>
      </c>
      <c r="B92" s="503">
        <v>2</v>
      </c>
      <c r="C92" s="503">
        <v>3</v>
      </c>
      <c r="D92" s="503">
        <v>4</v>
      </c>
      <c r="E92" s="503">
        <v>5</v>
      </c>
      <c r="F92" s="504">
        <v>6</v>
      </c>
      <c r="G92" s="504">
        <v>7</v>
      </c>
      <c r="H92" s="504">
        <v>8</v>
      </c>
      <c r="I92" s="504">
        <v>9</v>
      </c>
      <c r="J92" s="504">
        <v>10</v>
      </c>
      <c r="K92" s="550">
        <v>11</v>
      </c>
    </row>
    <row r="93" spans="1:13" s="214" customFormat="1" ht="20.25" customHeight="1">
      <c r="A93" s="551" t="s">
        <v>516</v>
      </c>
      <c r="B93" s="566" t="s">
        <v>5</v>
      </c>
      <c r="C93" s="535">
        <v>41</v>
      </c>
      <c r="D93" s="538" t="s">
        <v>24</v>
      </c>
      <c r="E93" s="529" t="s">
        <v>430</v>
      </c>
      <c r="F93" s="511">
        <f>F94+F95+F96+F97</f>
        <v>500</v>
      </c>
      <c r="G93" s="511">
        <f>G94+G95+G96+G97</f>
        <v>20</v>
      </c>
      <c r="H93" s="511">
        <f>H94+H95+H96+H97</f>
        <v>480</v>
      </c>
      <c r="I93" s="511">
        <f>I94+I95+I96+I97</f>
        <v>0</v>
      </c>
      <c r="J93" s="511">
        <f>J94+J95+J96+J97</f>
        <v>0</v>
      </c>
      <c r="K93" s="552">
        <f t="shared" si="3"/>
        <v>480</v>
      </c>
      <c r="M93" s="216"/>
    </row>
    <row r="94" spans="1:13" s="214" customFormat="1" ht="25.5">
      <c r="A94" s="553"/>
      <c r="B94" s="213" t="s">
        <v>47</v>
      </c>
      <c r="C94" s="535"/>
      <c r="D94" s="538"/>
      <c r="E94" s="525" t="s">
        <v>587</v>
      </c>
      <c r="F94" s="509">
        <v>200</v>
      </c>
      <c r="G94" s="509">
        <v>20</v>
      </c>
      <c r="H94" s="509">
        <v>180</v>
      </c>
      <c r="I94" s="513">
        <v>0</v>
      </c>
      <c r="J94" s="513">
        <v>0</v>
      </c>
      <c r="K94" s="554">
        <f t="shared" si="3"/>
        <v>180</v>
      </c>
      <c r="M94" s="216"/>
    </row>
    <row r="95" spans="1:13" s="214" customFormat="1" ht="18.75" customHeight="1">
      <c r="A95" s="553"/>
      <c r="B95" s="213" t="s">
        <v>48</v>
      </c>
      <c r="C95" s="535"/>
      <c r="D95" s="538"/>
      <c r="E95" s="525" t="s">
        <v>433</v>
      </c>
      <c r="F95" s="509">
        <v>50</v>
      </c>
      <c r="G95" s="509">
        <v>0</v>
      </c>
      <c r="H95" s="509">
        <v>50</v>
      </c>
      <c r="I95" s="509"/>
      <c r="J95" s="509"/>
      <c r="K95" s="554">
        <f t="shared" si="3"/>
        <v>50</v>
      </c>
      <c r="M95" s="216"/>
    </row>
    <row r="96" spans="1:13" s="214" customFormat="1" ht="18.75" customHeight="1">
      <c r="A96" s="553"/>
      <c r="B96" s="798" t="s">
        <v>49</v>
      </c>
      <c r="C96" s="535"/>
      <c r="D96" s="538"/>
      <c r="E96" s="525" t="s">
        <v>427</v>
      </c>
      <c r="F96" s="509">
        <v>50</v>
      </c>
      <c r="G96" s="509">
        <v>0</v>
      </c>
      <c r="H96" s="509">
        <v>50</v>
      </c>
      <c r="I96" s="513">
        <v>0</v>
      </c>
      <c r="J96" s="513">
        <v>0</v>
      </c>
      <c r="K96" s="554">
        <f t="shared" si="3"/>
        <v>50</v>
      </c>
      <c r="M96" s="216"/>
    </row>
    <row r="97" spans="1:13" s="214" customFormat="1" ht="18.75" customHeight="1" thickBot="1">
      <c r="A97" s="557"/>
      <c r="B97" s="799"/>
      <c r="C97" s="558"/>
      <c r="D97" s="559"/>
      <c r="E97" s="526" t="s">
        <v>431</v>
      </c>
      <c r="F97" s="510">
        <v>200</v>
      </c>
      <c r="G97" s="510"/>
      <c r="H97" s="510">
        <v>200</v>
      </c>
      <c r="I97" s="510"/>
      <c r="J97" s="510"/>
      <c r="K97" s="560">
        <f t="shared" si="3"/>
        <v>200</v>
      </c>
      <c r="M97" s="216"/>
    </row>
    <row r="98" spans="1:13" s="214" customFormat="1" ht="20.25" customHeight="1">
      <c r="A98" s="555" t="s">
        <v>571</v>
      </c>
      <c r="B98" s="436" t="s">
        <v>50</v>
      </c>
      <c r="C98" s="535"/>
      <c r="D98" s="538" t="s">
        <v>25</v>
      </c>
      <c r="E98" s="529" t="s">
        <v>430</v>
      </c>
      <c r="F98" s="512">
        <f>F99+F100+F101+F102</f>
        <v>250</v>
      </c>
      <c r="G98" s="512">
        <f>G99+G100+G101+G102</f>
        <v>0</v>
      </c>
      <c r="H98" s="512">
        <f>H99+H100+H101+H102</f>
        <v>250</v>
      </c>
      <c r="I98" s="512">
        <f>I99+I100+I101+I102</f>
        <v>0</v>
      </c>
      <c r="J98" s="512">
        <f>J99+J100+J101+J102</f>
        <v>0</v>
      </c>
      <c r="K98" s="552">
        <f t="shared" si="3"/>
        <v>250</v>
      </c>
      <c r="M98" s="216"/>
    </row>
    <row r="99" spans="1:13" s="214" customFormat="1" ht="18" customHeight="1">
      <c r="A99" s="553"/>
      <c r="B99" s="213" t="s">
        <v>14</v>
      </c>
      <c r="C99" s="535"/>
      <c r="D99" s="538"/>
      <c r="E99" s="525" t="s">
        <v>587</v>
      </c>
      <c r="F99" s="509">
        <v>25</v>
      </c>
      <c r="G99" s="509">
        <v>0</v>
      </c>
      <c r="H99" s="509">
        <v>25</v>
      </c>
      <c r="I99" s="513">
        <v>0</v>
      </c>
      <c r="J99" s="513">
        <v>0</v>
      </c>
      <c r="K99" s="554">
        <f t="shared" si="3"/>
        <v>25</v>
      </c>
      <c r="M99" s="216"/>
    </row>
    <row r="100" spans="1:13" s="214" customFormat="1" ht="18.75" customHeight="1">
      <c r="A100" s="553"/>
      <c r="B100" s="213" t="s">
        <v>591</v>
      </c>
      <c r="C100" s="535"/>
      <c r="D100" s="538"/>
      <c r="E100" s="525" t="s">
        <v>433</v>
      </c>
      <c r="F100" s="509">
        <v>225</v>
      </c>
      <c r="G100" s="509">
        <v>0</v>
      </c>
      <c r="H100" s="509">
        <v>225</v>
      </c>
      <c r="I100" s="513">
        <v>0</v>
      </c>
      <c r="J100" s="513">
        <v>0</v>
      </c>
      <c r="K100" s="554">
        <f t="shared" si="3"/>
        <v>225</v>
      </c>
      <c r="M100" s="216"/>
    </row>
    <row r="101" spans="1:13" s="214" customFormat="1" ht="18.75" customHeight="1">
      <c r="A101" s="553"/>
      <c r="B101" s="798" t="s">
        <v>51</v>
      </c>
      <c r="C101" s="535"/>
      <c r="D101" s="538"/>
      <c r="E101" s="525" t="s">
        <v>427</v>
      </c>
      <c r="F101" s="509">
        <v>0</v>
      </c>
      <c r="G101" s="509">
        <v>0</v>
      </c>
      <c r="H101" s="509">
        <v>0</v>
      </c>
      <c r="I101" s="513">
        <v>0</v>
      </c>
      <c r="J101" s="513">
        <v>0</v>
      </c>
      <c r="K101" s="554">
        <f aca="true" t="shared" si="4" ref="K101:K107">H101+I101+J101</f>
        <v>0</v>
      </c>
      <c r="M101" s="216"/>
    </row>
    <row r="102" spans="1:13" s="214" customFormat="1" ht="18.75" customHeight="1" thickBot="1">
      <c r="A102" s="557"/>
      <c r="B102" s="799"/>
      <c r="C102" s="558"/>
      <c r="D102" s="559"/>
      <c r="E102" s="526" t="s">
        <v>653</v>
      </c>
      <c r="F102" s="510">
        <v>0</v>
      </c>
      <c r="G102" s="510"/>
      <c r="H102" s="510">
        <v>0</v>
      </c>
      <c r="I102" s="514">
        <v>0</v>
      </c>
      <c r="J102" s="514">
        <v>0</v>
      </c>
      <c r="K102" s="560">
        <f t="shared" si="4"/>
        <v>0</v>
      </c>
      <c r="M102" s="216"/>
    </row>
    <row r="103" spans="1:13" s="214" customFormat="1" ht="20.25" customHeight="1">
      <c r="A103" s="555" t="s">
        <v>518</v>
      </c>
      <c r="B103" s="436" t="s">
        <v>12</v>
      </c>
      <c r="C103" s="535"/>
      <c r="D103" s="538" t="s">
        <v>26</v>
      </c>
      <c r="E103" s="529" t="s">
        <v>430</v>
      </c>
      <c r="F103" s="512">
        <f>F104+F105+F106+F107</f>
        <v>500</v>
      </c>
      <c r="G103" s="512">
        <f>G104+G105+G106+G107</f>
        <v>0</v>
      </c>
      <c r="H103" s="512">
        <f>H104+H105+H106+H107</f>
        <v>0</v>
      </c>
      <c r="I103" s="512">
        <f>I104+I105+I106+I107</f>
        <v>85</v>
      </c>
      <c r="J103" s="512">
        <f>J104+J105+J106+J107</f>
        <v>85</v>
      </c>
      <c r="K103" s="552">
        <f t="shared" si="4"/>
        <v>170</v>
      </c>
      <c r="M103" s="216"/>
    </row>
    <row r="104" spans="1:13" s="214" customFormat="1" ht="18.75" customHeight="1">
      <c r="A104" s="553"/>
      <c r="B104" s="213" t="s">
        <v>14</v>
      </c>
      <c r="C104" s="527"/>
      <c r="D104" s="538"/>
      <c r="E104" s="525" t="s">
        <v>432</v>
      </c>
      <c r="F104" s="509">
        <v>200</v>
      </c>
      <c r="G104" s="513">
        <v>0</v>
      </c>
      <c r="H104" s="513">
        <v>0</v>
      </c>
      <c r="I104" s="515">
        <v>35</v>
      </c>
      <c r="J104" s="515">
        <v>35</v>
      </c>
      <c r="K104" s="554">
        <f t="shared" si="4"/>
        <v>70</v>
      </c>
      <c r="M104" s="216"/>
    </row>
    <row r="105" spans="1:13" s="214" customFormat="1" ht="18.75" customHeight="1">
      <c r="A105" s="553"/>
      <c r="B105" s="213" t="s">
        <v>591</v>
      </c>
      <c r="C105" s="527"/>
      <c r="D105" s="538"/>
      <c r="E105" s="525" t="s">
        <v>433</v>
      </c>
      <c r="F105" s="509">
        <v>0</v>
      </c>
      <c r="G105" s="513">
        <v>0</v>
      </c>
      <c r="H105" s="513">
        <v>0</v>
      </c>
      <c r="I105" s="513">
        <v>0</v>
      </c>
      <c r="J105" s="513">
        <v>0</v>
      </c>
      <c r="K105" s="554">
        <f t="shared" si="4"/>
        <v>0</v>
      </c>
      <c r="M105" s="216"/>
    </row>
    <row r="106" spans="1:13" s="214" customFormat="1" ht="18.75" customHeight="1">
      <c r="A106" s="553"/>
      <c r="B106" s="798" t="s">
        <v>52</v>
      </c>
      <c r="C106" s="527"/>
      <c r="D106" s="538"/>
      <c r="E106" s="525" t="s">
        <v>427</v>
      </c>
      <c r="F106" s="509">
        <v>300</v>
      </c>
      <c r="G106" s="513">
        <v>0</v>
      </c>
      <c r="H106" s="513">
        <v>0</v>
      </c>
      <c r="I106" s="515">
        <v>50</v>
      </c>
      <c r="J106" s="515">
        <v>50</v>
      </c>
      <c r="K106" s="554">
        <f t="shared" si="4"/>
        <v>100</v>
      </c>
      <c r="M106" s="216"/>
    </row>
    <row r="107" spans="1:13" s="214" customFormat="1" ht="18.75" customHeight="1" thickBot="1">
      <c r="A107" s="553"/>
      <c r="B107" s="799"/>
      <c r="C107" s="527"/>
      <c r="D107" s="532"/>
      <c r="E107" s="531" t="s">
        <v>653</v>
      </c>
      <c r="F107" s="516">
        <v>0</v>
      </c>
      <c r="G107" s="517">
        <v>0</v>
      </c>
      <c r="H107" s="517">
        <v>0</v>
      </c>
      <c r="I107" s="517">
        <v>0</v>
      </c>
      <c r="J107" s="517">
        <v>0</v>
      </c>
      <c r="K107" s="556">
        <f t="shared" si="4"/>
        <v>0</v>
      </c>
      <c r="M107" s="216"/>
    </row>
    <row r="108" spans="1:11" s="212" customFormat="1" ht="22.5" customHeight="1" thickBot="1">
      <c r="A108" s="499"/>
      <c r="B108" s="500"/>
      <c r="C108" s="500"/>
      <c r="D108" s="500"/>
      <c r="E108" s="524" t="s">
        <v>434</v>
      </c>
      <c r="F108" s="522">
        <f aca="true" t="shared" si="5" ref="F108:K108">F103+F98+F93+F83+F78+F73+F68+F63+F53+F48+F43+F38+F33+F23+F18+F13+F8</f>
        <v>24825.5</v>
      </c>
      <c r="G108" s="522">
        <f t="shared" si="5"/>
        <v>382.5</v>
      </c>
      <c r="H108" s="522">
        <f t="shared" si="5"/>
        <v>9778</v>
      </c>
      <c r="I108" s="522">
        <f t="shared" si="5"/>
        <v>9465</v>
      </c>
      <c r="J108" s="522">
        <f t="shared" si="5"/>
        <v>2885</v>
      </c>
      <c r="K108" s="523">
        <f t="shared" si="5"/>
        <v>22128</v>
      </c>
    </row>
    <row r="109" spans="1:11" s="212" customFormat="1" ht="22.5" customHeight="1">
      <c r="A109" s="496"/>
      <c r="B109" s="214"/>
      <c r="C109" s="214"/>
      <c r="D109" s="214"/>
      <c r="E109" s="497"/>
      <c r="F109" s="498"/>
      <c r="G109" s="498"/>
      <c r="H109" s="498"/>
      <c r="I109" s="498"/>
      <c r="J109" s="498"/>
      <c r="K109" s="498"/>
    </row>
    <row r="110" spans="2:11" ht="12.75">
      <c r="B110" s="151"/>
      <c r="C110" s="151"/>
      <c r="D110" s="151"/>
      <c r="E110" s="151"/>
      <c r="F110" s="151"/>
      <c r="G110" s="151"/>
      <c r="H110" s="151"/>
      <c r="I110" s="151"/>
      <c r="J110" s="151"/>
      <c r="K110" s="151"/>
    </row>
    <row r="111" spans="2:11" ht="12.75">
      <c r="B111" s="437" t="s">
        <v>1</v>
      </c>
      <c r="C111" s="151"/>
      <c r="D111" s="151"/>
      <c r="E111" s="151"/>
      <c r="F111" s="151"/>
      <c r="G111" s="151"/>
      <c r="H111" s="151"/>
      <c r="I111" s="151"/>
      <c r="J111" s="151"/>
      <c r="K111" s="151"/>
    </row>
    <row r="112" spans="2:11" ht="12.75">
      <c r="B112" s="817" t="s">
        <v>0</v>
      </c>
      <c r="C112" s="817"/>
      <c r="D112" s="817"/>
      <c r="E112" s="817"/>
      <c r="F112" s="817"/>
      <c r="G112" s="817"/>
      <c r="H112" s="817"/>
      <c r="I112" s="817"/>
      <c r="J112" s="817"/>
      <c r="K112" s="817"/>
    </row>
    <row r="113" spans="2:11" ht="12.75">
      <c r="B113" s="817"/>
      <c r="C113" s="817"/>
      <c r="D113" s="817"/>
      <c r="E113" s="817"/>
      <c r="F113" s="817"/>
      <c r="G113" s="817"/>
      <c r="H113" s="817"/>
      <c r="I113" s="817"/>
      <c r="J113" s="817"/>
      <c r="K113" s="817"/>
    </row>
    <row r="114" spans="2:11" ht="12.75">
      <c r="B114" s="817"/>
      <c r="C114" s="817"/>
      <c r="D114" s="817"/>
      <c r="E114" s="817"/>
      <c r="F114" s="817"/>
      <c r="G114" s="817"/>
      <c r="H114" s="817"/>
      <c r="I114" s="817"/>
      <c r="J114" s="817"/>
      <c r="K114" s="817"/>
    </row>
    <row r="115" spans="2:11" ht="12.75">
      <c r="B115" s="151"/>
      <c r="C115" s="151"/>
      <c r="D115" s="151"/>
      <c r="E115" s="151"/>
      <c r="F115" s="151"/>
      <c r="G115" s="151"/>
      <c r="H115" s="151"/>
      <c r="I115" s="151"/>
      <c r="J115" s="151"/>
      <c r="K115" s="151"/>
    </row>
    <row r="116" spans="2:11" ht="12.75">
      <c r="B116" s="151"/>
      <c r="C116" s="151"/>
      <c r="D116" s="151"/>
      <c r="E116" s="151"/>
      <c r="F116" s="151"/>
      <c r="G116" s="151"/>
      <c r="H116" s="151"/>
      <c r="I116" s="151"/>
      <c r="J116" s="151"/>
      <c r="K116" s="151"/>
    </row>
    <row r="117" spans="2:11" ht="12.75">
      <c r="B117" s="151"/>
      <c r="C117" s="151"/>
      <c r="D117" s="151"/>
      <c r="E117" s="151"/>
      <c r="F117" s="151"/>
      <c r="G117" s="151"/>
      <c r="H117" s="151"/>
      <c r="I117" s="151"/>
      <c r="J117" s="151"/>
      <c r="K117" s="151"/>
    </row>
    <row r="118" spans="2:11" ht="12.75">
      <c r="B118" s="151"/>
      <c r="C118" s="151"/>
      <c r="D118" s="151"/>
      <c r="E118" s="151"/>
      <c r="F118" s="151"/>
      <c r="G118" s="151"/>
      <c r="H118" s="151"/>
      <c r="I118" s="151"/>
      <c r="J118" s="151"/>
      <c r="K118" s="151"/>
    </row>
    <row r="119" spans="2:11" ht="12.75">
      <c r="B119" s="151"/>
      <c r="C119" s="151"/>
      <c r="D119" s="151"/>
      <c r="E119" s="151"/>
      <c r="F119" s="151"/>
      <c r="G119" s="151"/>
      <c r="H119" s="151"/>
      <c r="I119" s="151"/>
      <c r="J119" s="151"/>
      <c r="K119" s="151"/>
    </row>
    <row r="120" spans="2:11" ht="12.75">
      <c r="B120" s="151"/>
      <c r="C120" s="151"/>
      <c r="D120" s="151"/>
      <c r="E120" s="151"/>
      <c r="F120" s="151"/>
      <c r="G120" s="151"/>
      <c r="H120" s="151"/>
      <c r="I120" s="151"/>
      <c r="J120" s="151"/>
      <c r="K120" s="151"/>
    </row>
    <row r="121" spans="2:11" ht="12.75">
      <c r="B121" s="151"/>
      <c r="C121" s="151"/>
      <c r="D121" s="151"/>
      <c r="E121" s="151"/>
      <c r="F121" s="151"/>
      <c r="G121" s="151"/>
      <c r="H121" s="151"/>
      <c r="I121" s="151"/>
      <c r="J121" s="151"/>
      <c r="K121" s="151"/>
    </row>
    <row r="122" spans="2:11" ht="12.75">
      <c r="B122" s="151"/>
      <c r="C122" s="151"/>
      <c r="D122" s="151"/>
      <c r="E122" s="151"/>
      <c r="F122" s="151"/>
      <c r="G122" s="151"/>
      <c r="H122" s="151"/>
      <c r="I122" s="151"/>
      <c r="J122" s="151"/>
      <c r="K122" s="151"/>
    </row>
    <row r="123" spans="2:11" ht="12.75">
      <c r="B123" s="151"/>
      <c r="C123" s="151"/>
      <c r="D123" s="151"/>
      <c r="E123" s="151"/>
      <c r="F123" s="151"/>
      <c r="G123" s="151"/>
      <c r="H123" s="151"/>
      <c r="I123" s="151"/>
      <c r="J123" s="151"/>
      <c r="K123" s="151"/>
    </row>
    <row r="124" spans="2:11" ht="12.75">
      <c r="B124" s="151"/>
      <c r="C124" s="151"/>
      <c r="D124" s="151"/>
      <c r="E124" s="151"/>
      <c r="F124" s="151"/>
      <c r="G124" s="151"/>
      <c r="H124" s="151"/>
      <c r="I124" s="151"/>
      <c r="J124" s="151"/>
      <c r="K124" s="151"/>
    </row>
    <row r="125" spans="2:11" ht="12.75">
      <c r="B125" s="151"/>
      <c r="C125" s="151"/>
      <c r="D125" s="151"/>
      <c r="E125" s="151"/>
      <c r="F125" s="151"/>
      <c r="G125" s="151"/>
      <c r="H125" s="151"/>
      <c r="I125" s="151"/>
      <c r="J125" s="151"/>
      <c r="K125" s="151"/>
    </row>
    <row r="126" spans="2:11" ht="12.75">
      <c r="B126" s="151"/>
      <c r="C126" s="151"/>
      <c r="D126" s="151"/>
      <c r="E126" s="151"/>
      <c r="F126" s="151"/>
      <c r="G126" s="151"/>
      <c r="H126" s="151"/>
      <c r="I126" s="151"/>
      <c r="J126" s="151"/>
      <c r="K126" s="151"/>
    </row>
    <row r="127" spans="2:11" ht="12.75">
      <c r="B127" s="151"/>
      <c r="C127" s="151"/>
      <c r="D127" s="151"/>
      <c r="E127" s="151"/>
      <c r="F127" s="151"/>
      <c r="G127" s="151"/>
      <c r="H127" s="151"/>
      <c r="I127" s="151"/>
      <c r="J127" s="151"/>
      <c r="K127" s="151"/>
    </row>
    <row r="128" spans="2:11" ht="12.75">
      <c r="B128" s="151"/>
      <c r="C128" s="151"/>
      <c r="D128" s="151"/>
      <c r="E128" s="151"/>
      <c r="F128" s="151"/>
      <c r="G128" s="151"/>
      <c r="H128" s="151"/>
      <c r="I128" s="151"/>
      <c r="J128" s="151"/>
      <c r="K128" s="151"/>
    </row>
    <row r="129" spans="2:11" ht="12.75">
      <c r="B129" s="151"/>
      <c r="C129" s="151"/>
      <c r="D129" s="151"/>
      <c r="E129" s="151"/>
      <c r="F129" s="151"/>
      <c r="G129" s="151"/>
      <c r="H129" s="151"/>
      <c r="I129" s="151"/>
      <c r="J129" s="151"/>
      <c r="K129" s="151"/>
    </row>
    <row r="130" spans="2:11" ht="12.75">
      <c r="B130" s="151"/>
      <c r="C130" s="151"/>
      <c r="D130" s="151"/>
      <c r="E130" s="151"/>
      <c r="F130" s="151"/>
      <c r="G130" s="151"/>
      <c r="H130" s="151"/>
      <c r="I130" s="151"/>
      <c r="J130" s="151"/>
      <c r="K130" s="151"/>
    </row>
    <row r="131" spans="2:11" ht="12.75">
      <c r="B131" s="151"/>
      <c r="C131" s="151"/>
      <c r="D131" s="151"/>
      <c r="E131" s="151"/>
      <c r="F131" s="151"/>
      <c r="G131" s="151"/>
      <c r="H131" s="151"/>
      <c r="I131" s="151"/>
      <c r="J131" s="151"/>
      <c r="K131" s="151"/>
    </row>
    <row r="132" spans="2:11" ht="12.75">
      <c r="B132" s="151"/>
      <c r="C132" s="151"/>
      <c r="D132" s="151"/>
      <c r="E132" s="151"/>
      <c r="F132" s="151"/>
      <c r="G132" s="151"/>
      <c r="H132" s="151"/>
      <c r="I132" s="151"/>
      <c r="J132" s="151"/>
      <c r="K132" s="151"/>
    </row>
  </sheetData>
  <mergeCells count="55">
    <mergeCell ref="G4:G5"/>
    <mergeCell ref="H3:K4"/>
    <mergeCell ref="A1:K1"/>
    <mergeCell ref="A3:A5"/>
    <mergeCell ref="B3:B5"/>
    <mergeCell ref="C3:C5"/>
    <mergeCell ref="D3:D5"/>
    <mergeCell ref="E4:E5"/>
    <mergeCell ref="F4:F5"/>
    <mergeCell ref="E3:G3"/>
    <mergeCell ref="B112:K114"/>
    <mergeCell ref="B11:B12"/>
    <mergeCell ref="B16:B17"/>
    <mergeCell ref="B21:B22"/>
    <mergeCell ref="B26:B27"/>
    <mergeCell ref="E29:G29"/>
    <mergeCell ref="H29:K30"/>
    <mergeCell ref="E30:E31"/>
    <mergeCell ref="F30:F31"/>
    <mergeCell ref="G30:G31"/>
    <mergeCell ref="A29:A31"/>
    <mergeCell ref="B29:B31"/>
    <mergeCell ref="C29:C31"/>
    <mergeCell ref="D29:D31"/>
    <mergeCell ref="B36:B37"/>
    <mergeCell ref="B41:B42"/>
    <mergeCell ref="B46:B47"/>
    <mergeCell ref="B51:B52"/>
    <mergeCell ref="B56:B57"/>
    <mergeCell ref="A59:A61"/>
    <mergeCell ref="B59:B61"/>
    <mergeCell ref="C59:C61"/>
    <mergeCell ref="D59:D61"/>
    <mergeCell ref="E59:G59"/>
    <mergeCell ref="H59:K60"/>
    <mergeCell ref="E60:E61"/>
    <mergeCell ref="F60:F61"/>
    <mergeCell ref="G60:G61"/>
    <mergeCell ref="B66:B67"/>
    <mergeCell ref="B71:B72"/>
    <mergeCell ref="B76:B77"/>
    <mergeCell ref="B81:B82"/>
    <mergeCell ref="B86:B87"/>
    <mergeCell ref="A89:A91"/>
    <mergeCell ref="B89:B91"/>
    <mergeCell ref="C89:C91"/>
    <mergeCell ref="E89:G89"/>
    <mergeCell ref="H89:K90"/>
    <mergeCell ref="E90:E91"/>
    <mergeCell ref="F90:F91"/>
    <mergeCell ref="G90:G91"/>
    <mergeCell ref="B96:B97"/>
    <mergeCell ref="B101:B102"/>
    <mergeCell ref="B106:B107"/>
    <mergeCell ref="D89:D91"/>
  </mergeCells>
  <printOptions horizontalCentered="1"/>
  <pageMargins left="0.2" right="0.17" top="1.1" bottom="0.4724409448818898" header="0.3937007874015748" footer="0.25"/>
  <pageSetup horizontalDpi="600" verticalDpi="600" orientation="landscape" paperSize="9" scale="85" r:id="rId1"/>
  <headerFooter alignWithMargins="0">
    <oddHeader>&amp;R&amp;"Arial CE,Pogrubiony"Załącznik Nr &amp;A&amp;"Arial CE,Standardowy"
&amp;9do Uchwały Rady Gminy w Miłkowicach Nr..............
z dnia ..............</oddHeader>
    <oddFooter>&amp;CStrona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35"/>
  <sheetViews>
    <sheetView showGridLines="0" workbookViewId="0" topLeftCell="A13">
      <selection activeCell="B2" sqref="B2:F2"/>
    </sheetView>
  </sheetViews>
  <sheetFormatPr defaultColWidth="9.00390625" defaultRowHeight="12.75"/>
  <cols>
    <col min="1" max="1" width="4.75390625" style="1" bestFit="1" customWidth="1"/>
    <col min="2" max="2" width="25.375" style="1" customWidth="1"/>
    <col min="3" max="3" width="12.00390625" style="1" customWidth="1"/>
    <col min="4" max="4" width="3.875" style="1" customWidth="1"/>
    <col min="5" max="5" width="14.375" style="1" customWidth="1"/>
    <col min="6" max="6" width="14.00390625" style="1" customWidth="1"/>
    <col min="7" max="7" width="14.375" style="1" customWidth="1"/>
    <col min="8" max="8" width="12.00390625" style="1" customWidth="1"/>
    <col min="9" max="16384" width="9.125" style="1" customWidth="1"/>
  </cols>
  <sheetData>
    <row r="1" spans="1:7" ht="20.25" customHeight="1">
      <c r="A1" s="820" t="s">
        <v>654</v>
      </c>
      <c r="B1" s="820"/>
      <c r="C1" s="820"/>
      <c r="D1" s="820"/>
      <c r="E1" s="820"/>
      <c r="F1" s="820"/>
      <c r="G1" s="820"/>
    </row>
    <row r="2" spans="2:7" ht="27" customHeight="1">
      <c r="B2" s="826" t="s">
        <v>655</v>
      </c>
      <c r="C2" s="826"/>
      <c r="D2" s="826"/>
      <c r="E2" s="826"/>
      <c r="F2" s="826"/>
      <c r="G2" s="579"/>
    </row>
    <row r="3" spans="1:7" ht="18" customHeight="1">
      <c r="A3" s="567"/>
      <c r="B3" s="567"/>
      <c r="C3" s="567"/>
      <c r="D3" s="567"/>
      <c r="E3" s="567"/>
      <c r="F3" s="567"/>
      <c r="G3" s="567"/>
    </row>
    <row r="4" spans="1:7" ht="18" customHeight="1">
      <c r="A4" s="825" t="s">
        <v>656</v>
      </c>
      <c r="B4" s="825"/>
      <c r="C4" s="568"/>
      <c r="D4" s="568"/>
      <c r="E4" s="568"/>
      <c r="F4" s="569" t="s">
        <v>659</v>
      </c>
      <c r="G4" s="567"/>
    </row>
    <row r="5" spans="1:7" ht="18" customHeight="1">
      <c r="A5" s="825" t="s">
        <v>657</v>
      </c>
      <c r="B5" s="825"/>
      <c r="C5" s="568"/>
      <c r="D5" s="568"/>
      <c r="E5" s="568"/>
      <c r="F5" s="569" t="s">
        <v>660</v>
      </c>
      <c r="G5" s="567"/>
    </row>
    <row r="6" spans="1:7" ht="18" customHeight="1">
      <c r="A6" s="825" t="s">
        <v>658</v>
      </c>
      <c r="B6" s="825"/>
      <c r="C6" s="825"/>
      <c r="D6" s="568"/>
      <c r="E6" s="568"/>
      <c r="F6" s="569" t="s">
        <v>661</v>
      </c>
      <c r="G6" s="567"/>
    </row>
    <row r="7" ht="14.25" customHeight="1">
      <c r="A7" s="17"/>
    </row>
    <row r="8" spans="1:7" ht="14.25" customHeight="1">
      <c r="A8" s="827" t="s">
        <v>662</v>
      </c>
      <c r="B8" s="827"/>
      <c r="C8" s="827"/>
      <c r="D8" s="827"/>
      <c r="E8" s="827"/>
      <c r="F8" s="827"/>
      <c r="G8" s="827"/>
    </row>
    <row r="9" ht="8.25" customHeight="1">
      <c r="G9" s="10"/>
    </row>
    <row r="10" spans="1:7" ht="9.75" customHeight="1">
      <c r="A10" s="821" t="s">
        <v>112</v>
      </c>
      <c r="B10" s="843" t="s">
        <v>62</v>
      </c>
      <c r="C10" s="844"/>
      <c r="D10" s="844"/>
      <c r="E10" s="845"/>
      <c r="F10" s="822" t="s">
        <v>61</v>
      </c>
      <c r="G10" s="822" t="s">
        <v>663</v>
      </c>
    </row>
    <row r="11" spans="1:7" ht="9.75" customHeight="1">
      <c r="A11" s="821"/>
      <c r="B11" s="846"/>
      <c r="C11" s="847"/>
      <c r="D11" s="847"/>
      <c r="E11" s="848"/>
      <c r="F11" s="823"/>
      <c r="G11" s="823"/>
    </row>
    <row r="12" spans="1:7" ht="9.75" customHeight="1">
      <c r="A12" s="821"/>
      <c r="B12" s="849"/>
      <c r="C12" s="850"/>
      <c r="D12" s="850"/>
      <c r="E12" s="851"/>
      <c r="F12" s="824"/>
      <c r="G12" s="824"/>
    </row>
    <row r="13" spans="1:7" s="56" customFormat="1" ht="6.75" customHeight="1">
      <c r="A13" s="55">
        <v>1</v>
      </c>
      <c r="B13" s="852">
        <v>2</v>
      </c>
      <c r="C13" s="853"/>
      <c r="D13" s="853"/>
      <c r="E13" s="854"/>
      <c r="F13" s="55">
        <v>3</v>
      </c>
      <c r="G13" s="55">
        <v>4</v>
      </c>
    </row>
    <row r="14" spans="1:7" ht="18.75" customHeight="1">
      <c r="A14" s="834" t="s">
        <v>81</v>
      </c>
      <c r="B14" s="835"/>
      <c r="C14" s="835"/>
      <c r="D14" s="835"/>
      <c r="E14" s="836"/>
      <c r="F14" s="24"/>
      <c r="G14" s="112">
        <f>SUM(G15:G22)</f>
        <v>2155000</v>
      </c>
    </row>
    <row r="15" spans="1:7" ht="18.75" customHeight="1">
      <c r="A15" s="25" t="s">
        <v>69</v>
      </c>
      <c r="B15" s="828" t="s">
        <v>76</v>
      </c>
      <c r="C15" s="829"/>
      <c r="D15" s="829"/>
      <c r="E15" s="830"/>
      <c r="F15" s="25" t="s">
        <v>82</v>
      </c>
      <c r="G15" s="109">
        <v>1205000</v>
      </c>
    </row>
    <row r="16" spans="1:8" ht="18.75" customHeight="1">
      <c r="A16" s="26" t="s">
        <v>70</v>
      </c>
      <c r="B16" s="837" t="s">
        <v>77</v>
      </c>
      <c r="C16" s="838"/>
      <c r="D16" s="838"/>
      <c r="E16" s="839"/>
      <c r="F16" s="26" t="s">
        <v>82</v>
      </c>
      <c r="G16" s="110">
        <v>375000</v>
      </c>
      <c r="H16" s="85"/>
    </row>
    <row r="17" spans="1:7" ht="27" customHeight="1">
      <c r="A17" s="26" t="s">
        <v>71</v>
      </c>
      <c r="B17" s="855" t="s">
        <v>138</v>
      </c>
      <c r="C17" s="856"/>
      <c r="D17" s="856"/>
      <c r="E17" s="857"/>
      <c r="F17" s="26" t="s">
        <v>104</v>
      </c>
      <c r="G17" s="110">
        <v>575000</v>
      </c>
    </row>
    <row r="18" spans="1:7" ht="18.75" customHeight="1">
      <c r="A18" s="26" t="s">
        <v>58</v>
      </c>
      <c r="B18" s="837" t="s">
        <v>84</v>
      </c>
      <c r="C18" s="838"/>
      <c r="D18" s="838"/>
      <c r="E18" s="839"/>
      <c r="F18" s="26" t="s">
        <v>105</v>
      </c>
      <c r="G18" s="110"/>
    </row>
    <row r="19" spans="1:7" ht="18.75" customHeight="1">
      <c r="A19" s="26" t="s">
        <v>75</v>
      </c>
      <c r="B19" s="837" t="s">
        <v>139</v>
      </c>
      <c r="C19" s="838"/>
      <c r="D19" s="838"/>
      <c r="E19" s="839"/>
      <c r="F19" s="26" t="s">
        <v>149</v>
      </c>
      <c r="G19" s="110"/>
    </row>
    <row r="20" spans="1:7" ht="18.75" customHeight="1">
      <c r="A20" s="26" t="s">
        <v>78</v>
      </c>
      <c r="B20" s="837" t="s">
        <v>79</v>
      </c>
      <c r="C20" s="838"/>
      <c r="D20" s="838"/>
      <c r="E20" s="839"/>
      <c r="F20" s="26" t="s">
        <v>83</v>
      </c>
      <c r="G20" s="110"/>
    </row>
    <row r="21" spans="1:7" ht="18.75" customHeight="1">
      <c r="A21" s="26" t="s">
        <v>80</v>
      </c>
      <c r="B21" s="837" t="s">
        <v>154</v>
      </c>
      <c r="C21" s="838"/>
      <c r="D21" s="838"/>
      <c r="E21" s="839"/>
      <c r="F21" s="26" t="s">
        <v>115</v>
      </c>
      <c r="G21" s="110"/>
    </row>
    <row r="22" spans="1:7" ht="18.75" customHeight="1">
      <c r="A22" s="26" t="s">
        <v>86</v>
      </c>
      <c r="B22" s="831" t="s">
        <v>103</v>
      </c>
      <c r="C22" s="832"/>
      <c r="D22" s="832"/>
      <c r="E22" s="833"/>
      <c r="F22" s="28" t="s">
        <v>85</v>
      </c>
      <c r="G22" s="111"/>
    </row>
    <row r="23" spans="1:7" ht="18.75" customHeight="1">
      <c r="A23" s="834" t="s">
        <v>140</v>
      </c>
      <c r="B23" s="835"/>
      <c r="C23" s="835"/>
      <c r="D23" s="835"/>
      <c r="E23" s="836"/>
      <c r="F23" s="24"/>
      <c r="G23" s="112">
        <f>SUM(G24:G30)</f>
        <v>1294740</v>
      </c>
    </row>
    <row r="24" spans="1:7" ht="18.75" customHeight="1">
      <c r="A24" s="25" t="s">
        <v>69</v>
      </c>
      <c r="B24" s="828" t="s">
        <v>106</v>
      </c>
      <c r="C24" s="829"/>
      <c r="D24" s="829"/>
      <c r="E24" s="830"/>
      <c r="F24" s="25" t="s">
        <v>88</v>
      </c>
      <c r="G24" s="109">
        <f>150000+133200+90000+85000</f>
        <v>458200</v>
      </c>
    </row>
    <row r="25" spans="1:7" ht="18.75" customHeight="1">
      <c r="A25" s="26" t="s">
        <v>70</v>
      </c>
      <c r="B25" s="837" t="s">
        <v>87</v>
      </c>
      <c r="C25" s="838"/>
      <c r="D25" s="838"/>
      <c r="E25" s="839"/>
      <c r="F25" s="26" t="s">
        <v>88</v>
      </c>
      <c r="G25" s="110">
        <f>145220+24200+32120+60000</f>
        <v>261540</v>
      </c>
    </row>
    <row r="26" spans="1:7" ht="29.25" customHeight="1">
      <c r="A26" s="26" t="s">
        <v>71</v>
      </c>
      <c r="B26" s="840" t="s">
        <v>109</v>
      </c>
      <c r="C26" s="841"/>
      <c r="D26" s="841"/>
      <c r="E26" s="842"/>
      <c r="F26" s="26" t="s">
        <v>110</v>
      </c>
      <c r="G26" s="110">
        <v>575000</v>
      </c>
    </row>
    <row r="27" spans="1:7" ht="18.75" customHeight="1">
      <c r="A27" s="26" t="s">
        <v>58</v>
      </c>
      <c r="B27" s="837" t="s">
        <v>107</v>
      </c>
      <c r="C27" s="838"/>
      <c r="D27" s="838"/>
      <c r="E27" s="839"/>
      <c r="F27" s="26" t="s">
        <v>101</v>
      </c>
      <c r="G27" s="110"/>
    </row>
    <row r="28" spans="1:7" ht="18.75" customHeight="1">
      <c r="A28" s="26" t="s">
        <v>75</v>
      </c>
      <c r="B28" s="837" t="s">
        <v>108</v>
      </c>
      <c r="C28" s="838"/>
      <c r="D28" s="838"/>
      <c r="E28" s="839"/>
      <c r="F28" s="26" t="s">
        <v>90</v>
      </c>
      <c r="G28" s="110"/>
    </row>
    <row r="29" spans="1:7" ht="18.75" customHeight="1">
      <c r="A29" s="26" t="s">
        <v>78</v>
      </c>
      <c r="B29" s="570" t="s">
        <v>155</v>
      </c>
      <c r="C29" s="577"/>
      <c r="D29" s="577"/>
      <c r="E29" s="571"/>
      <c r="F29" s="26" t="s">
        <v>91</v>
      </c>
      <c r="G29" s="110"/>
    </row>
    <row r="30" spans="1:7" ht="18.75" customHeight="1">
      <c r="A30" s="28" t="s">
        <v>80</v>
      </c>
      <c r="B30" s="831" t="s">
        <v>92</v>
      </c>
      <c r="C30" s="832"/>
      <c r="D30" s="832"/>
      <c r="E30" s="833"/>
      <c r="F30" s="28" t="s">
        <v>89</v>
      </c>
      <c r="G30" s="111"/>
    </row>
    <row r="31" spans="1:7" ht="7.5" customHeight="1">
      <c r="A31" s="4"/>
      <c r="B31" s="5"/>
      <c r="C31" s="5"/>
      <c r="D31" s="5"/>
      <c r="E31" s="5"/>
      <c r="F31" s="5"/>
      <c r="G31" s="5"/>
    </row>
    <row r="32" spans="1:9" ht="12.75">
      <c r="A32" s="40"/>
      <c r="B32" s="39"/>
      <c r="C32" s="39"/>
      <c r="D32" s="39"/>
      <c r="E32" s="39"/>
      <c r="F32" s="39"/>
      <c r="G32" s="39"/>
      <c r="H32" s="38"/>
      <c r="I32" s="38"/>
    </row>
    <row r="33" spans="1:7" ht="18" customHeight="1">
      <c r="A33" s="1" t="s">
        <v>664</v>
      </c>
      <c r="B33" s="44"/>
      <c r="C33" s="574">
        <v>21210689</v>
      </c>
      <c r="D33" s="574"/>
      <c r="E33" s="1" t="s">
        <v>668</v>
      </c>
      <c r="G33" s="85">
        <v>22070949</v>
      </c>
    </row>
    <row r="34" spans="1:7" ht="18" customHeight="1">
      <c r="A34" s="572" t="s">
        <v>665</v>
      </c>
      <c r="B34" s="572"/>
      <c r="C34" s="575">
        <v>2155000</v>
      </c>
      <c r="D34" s="578"/>
      <c r="E34" s="572" t="s">
        <v>667</v>
      </c>
      <c r="F34" s="572"/>
      <c r="G34" s="573">
        <v>1294740</v>
      </c>
    </row>
    <row r="35" spans="1:7" ht="18" customHeight="1">
      <c r="A35" s="1" t="s">
        <v>666</v>
      </c>
      <c r="C35" s="576">
        <f>C33+C34</f>
        <v>23365689</v>
      </c>
      <c r="D35" s="576"/>
      <c r="E35" s="1" t="s">
        <v>666</v>
      </c>
      <c r="G35" s="85">
        <f>G33+G34</f>
        <v>23365689</v>
      </c>
    </row>
  </sheetData>
  <mergeCells count="27">
    <mergeCell ref="B20:E20"/>
    <mergeCell ref="B21:E21"/>
    <mergeCell ref="B17:E17"/>
    <mergeCell ref="B16:E16"/>
    <mergeCell ref="A14:E14"/>
    <mergeCell ref="B10:E12"/>
    <mergeCell ref="B13:E13"/>
    <mergeCell ref="B18:E18"/>
    <mergeCell ref="B15:E15"/>
    <mergeCell ref="B30:E30"/>
    <mergeCell ref="A23:E23"/>
    <mergeCell ref="B24:E24"/>
    <mergeCell ref="B25:E25"/>
    <mergeCell ref="B26:E26"/>
    <mergeCell ref="B27:E27"/>
    <mergeCell ref="B28:E28"/>
    <mergeCell ref="B22:E22"/>
    <mergeCell ref="B19:E19"/>
    <mergeCell ref="A1:G1"/>
    <mergeCell ref="A10:A12"/>
    <mergeCell ref="F10:F12"/>
    <mergeCell ref="G10:G12"/>
    <mergeCell ref="A4:B4"/>
    <mergeCell ref="A5:B5"/>
    <mergeCell ref="B2:F2"/>
    <mergeCell ref="A6:C6"/>
    <mergeCell ref="A8:G8"/>
  </mergeCells>
  <printOptions horizontalCentered="1"/>
  <pageMargins left="0.3937007874015748" right="0.3937007874015748" top="1.24" bottom="0.5905511811023623" header="0.5" footer="0.5118110236220472"/>
  <pageSetup horizontalDpi="600" verticalDpi="600" orientation="portrait" paperSize="9" r:id="rId1"/>
  <headerFooter alignWithMargins="0">
    <oddHeader>&amp;R&amp;"Arial CE,Pogrubiony"Załącznik nr &amp;A&amp;"Arial CE,Standardowy"
do Uchwały Rady Gminy w Miłkowicach Nr ...............
z dnia ..............................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12">
    <pageSetUpPr fitToPage="1"/>
  </sheetPr>
  <dimension ref="A1:K33"/>
  <sheetViews>
    <sheetView showGridLines="0" workbookViewId="0" topLeftCell="A1">
      <selection activeCell="D5" sqref="D5:D31"/>
    </sheetView>
  </sheetViews>
  <sheetFormatPr defaultColWidth="9.00390625" defaultRowHeight="12.75"/>
  <cols>
    <col min="1" max="1" width="6.25390625" style="0" customWidth="1"/>
    <col min="2" max="2" width="68.00390625" style="0" customWidth="1"/>
    <col min="3" max="3" width="14.75390625" style="0" customWidth="1"/>
    <col min="4" max="11" width="10.125" style="0" customWidth="1"/>
  </cols>
  <sheetData>
    <row r="1" ht="7.5" customHeight="1">
      <c r="G1" s="54"/>
    </row>
    <row r="2" spans="1:11" ht="18">
      <c r="A2" s="656" t="s">
        <v>495</v>
      </c>
      <c r="B2" s="656"/>
      <c r="C2" s="656"/>
      <c r="D2" s="656"/>
      <c r="E2" s="656"/>
      <c r="F2" s="656"/>
      <c r="G2" s="656"/>
      <c r="H2" s="656"/>
      <c r="I2" s="656"/>
      <c r="J2" s="656"/>
      <c r="K2" s="656"/>
    </row>
    <row r="3" spans="8:11" ht="9.75" customHeight="1">
      <c r="H3" s="53"/>
      <c r="K3" s="268" t="s">
        <v>97</v>
      </c>
    </row>
    <row r="4" spans="1:11" s="45" customFormat="1" ht="13.5" thickBot="1">
      <c r="A4" s="679" t="s">
        <v>112</v>
      </c>
      <c r="B4" s="679" t="s">
        <v>57</v>
      </c>
      <c r="C4" s="858" t="s">
        <v>493</v>
      </c>
      <c r="D4" s="860"/>
      <c r="E4" s="861"/>
      <c r="F4" s="861"/>
      <c r="G4" s="861"/>
      <c r="H4" s="861"/>
      <c r="I4" s="861"/>
      <c r="J4" s="861"/>
      <c r="K4" s="861"/>
    </row>
    <row r="5" spans="1:11" s="45" customFormat="1" ht="23.25" customHeight="1">
      <c r="A5" s="679"/>
      <c r="B5" s="679"/>
      <c r="C5" s="859"/>
      <c r="D5" s="417">
        <v>2008</v>
      </c>
      <c r="E5" s="411">
        <v>2009</v>
      </c>
      <c r="F5" s="50">
        <v>2010</v>
      </c>
      <c r="G5" s="50">
        <v>2011</v>
      </c>
      <c r="H5" s="50">
        <v>2012</v>
      </c>
      <c r="I5" s="50">
        <v>2013</v>
      </c>
      <c r="J5" s="50">
        <v>2014</v>
      </c>
      <c r="K5" s="50">
        <v>2015</v>
      </c>
    </row>
    <row r="6" spans="1:11" s="49" customFormat="1" ht="8.25">
      <c r="A6" s="48">
        <v>1</v>
      </c>
      <c r="B6" s="48">
        <v>2</v>
      </c>
      <c r="C6" s="406">
        <v>3</v>
      </c>
      <c r="D6" s="418">
        <v>5</v>
      </c>
      <c r="E6" s="412">
        <v>6</v>
      </c>
      <c r="F6" s="48">
        <v>7</v>
      </c>
      <c r="G6" s="48">
        <v>8</v>
      </c>
      <c r="H6" s="48">
        <v>9</v>
      </c>
      <c r="I6" s="48">
        <v>7</v>
      </c>
      <c r="J6" s="48">
        <v>8</v>
      </c>
      <c r="K6" s="48">
        <v>9</v>
      </c>
    </row>
    <row r="7" spans="1:11" s="45" customFormat="1" ht="22.5" customHeight="1">
      <c r="A7" s="43" t="s">
        <v>69</v>
      </c>
      <c r="B7" s="52" t="s">
        <v>490</v>
      </c>
      <c r="C7" s="407">
        <f aca="true" t="shared" si="0" ref="C7:K7">C8+C12-C17</f>
        <v>2835140</v>
      </c>
      <c r="D7" s="419">
        <f t="shared" si="0"/>
        <v>3695400</v>
      </c>
      <c r="E7" s="413">
        <f t="shared" si="0"/>
        <v>2866240</v>
      </c>
      <c r="F7" s="147">
        <f t="shared" si="0"/>
        <v>2069200</v>
      </c>
      <c r="G7" s="147">
        <f t="shared" si="0"/>
        <v>1555360</v>
      </c>
      <c r="H7" s="147">
        <f t="shared" si="0"/>
        <v>1166520</v>
      </c>
      <c r="I7" s="147">
        <f t="shared" si="0"/>
        <v>777680</v>
      </c>
      <c r="J7" s="147">
        <f t="shared" si="0"/>
        <v>388840</v>
      </c>
      <c r="K7" s="147">
        <f t="shared" si="0"/>
        <v>0</v>
      </c>
    </row>
    <row r="8" spans="1:11" s="38" customFormat="1" ht="15.75" customHeight="1">
      <c r="A8" s="43" t="s">
        <v>121</v>
      </c>
      <c r="B8" s="297" t="s">
        <v>485</v>
      </c>
      <c r="C8" s="407">
        <f>SUM(C9:C11)</f>
        <v>2835140</v>
      </c>
      <c r="D8" s="419">
        <f>C7-C16</f>
        <v>2835140</v>
      </c>
      <c r="E8" s="413">
        <f aca="true" t="shared" si="1" ref="E8:K8">D7</f>
        <v>3695400</v>
      </c>
      <c r="F8" s="147">
        <f t="shared" si="1"/>
        <v>2866240</v>
      </c>
      <c r="G8" s="147">
        <f t="shared" si="1"/>
        <v>2069200</v>
      </c>
      <c r="H8" s="147">
        <f t="shared" si="1"/>
        <v>1555360</v>
      </c>
      <c r="I8" s="147">
        <f t="shared" si="1"/>
        <v>1166520</v>
      </c>
      <c r="J8" s="147">
        <f t="shared" si="1"/>
        <v>777680</v>
      </c>
      <c r="K8" s="147">
        <f t="shared" si="1"/>
        <v>388840</v>
      </c>
    </row>
    <row r="9" spans="1:11" s="38" customFormat="1" ht="15" customHeight="1">
      <c r="A9" s="298" t="s">
        <v>159</v>
      </c>
      <c r="B9" s="299" t="s">
        <v>128</v>
      </c>
      <c r="C9" s="407">
        <v>1895540</v>
      </c>
      <c r="D9" s="419">
        <f>C9+D13-D18</f>
        <v>2009000</v>
      </c>
      <c r="E9" s="413">
        <f>D9+E13-E18</f>
        <v>1623040</v>
      </c>
      <c r="F9" s="147">
        <f aca="true" t="shared" si="2" ref="F9:K9">E9+F13-F18</f>
        <v>1269200</v>
      </c>
      <c r="G9" s="147">
        <f t="shared" si="2"/>
        <v>915360</v>
      </c>
      <c r="H9" s="147">
        <f t="shared" si="2"/>
        <v>686520</v>
      </c>
      <c r="I9" s="147">
        <f t="shared" si="2"/>
        <v>457680</v>
      </c>
      <c r="J9" s="147">
        <f t="shared" si="2"/>
        <v>228840</v>
      </c>
      <c r="K9" s="147">
        <f t="shared" si="2"/>
        <v>0</v>
      </c>
    </row>
    <row r="10" spans="1:11" s="38" customFormat="1" ht="15" customHeight="1">
      <c r="A10" s="298" t="s">
        <v>160</v>
      </c>
      <c r="B10" s="299" t="s">
        <v>129</v>
      </c>
      <c r="C10" s="407">
        <v>939600</v>
      </c>
      <c r="D10" s="419">
        <f>C10+D14-D19</f>
        <v>1686400</v>
      </c>
      <c r="E10" s="413">
        <f>D10+E14-E19</f>
        <v>1243200</v>
      </c>
      <c r="F10" s="147">
        <f aca="true" t="shared" si="3" ref="F10:K10">E10+F14-F19</f>
        <v>800000</v>
      </c>
      <c r="G10" s="147">
        <f t="shared" si="3"/>
        <v>640000</v>
      </c>
      <c r="H10" s="147">
        <f t="shared" si="3"/>
        <v>480000</v>
      </c>
      <c r="I10" s="147">
        <f t="shared" si="3"/>
        <v>320000</v>
      </c>
      <c r="J10" s="147">
        <f t="shared" si="3"/>
        <v>160000</v>
      </c>
      <c r="K10" s="147">
        <f t="shared" si="3"/>
        <v>0</v>
      </c>
    </row>
    <row r="11" spans="1:11" s="38" customFormat="1" ht="38.25">
      <c r="A11" s="298" t="s">
        <v>161</v>
      </c>
      <c r="B11" s="299" t="s">
        <v>494</v>
      </c>
      <c r="C11" s="300"/>
      <c r="D11" s="419"/>
      <c r="E11" s="413"/>
      <c r="F11" s="147"/>
      <c r="G11" s="147"/>
      <c r="H11" s="147"/>
      <c r="I11" s="147"/>
      <c r="J11" s="147"/>
      <c r="K11" s="147"/>
    </row>
    <row r="12" spans="1:11" s="38" customFormat="1" ht="15" customHeight="1">
      <c r="A12" s="43" t="s">
        <v>122</v>
      </c>
      <c r="B12" s="297" t="s">
        <v>486</v>
      </c>
      <c r="C12" s="407">
        <f>SUM(C13:C15)</f>
        <v>0</v>
      </c>
      <c r="D12" s="419">
        <f aca="true" t="shared" si="4" ref="D12:K12">SUM(D13:D15)</f>
        <v>2155000</v>
      </c>
      <c r="E12" s="413">
        <f t="shared" si="4"/>
        <v>0</v>
      </c>
      <c r="F12" s="147">
        <f t="shared" si="4"/>
        <v>0</v>
      </c>
      <c r="G12" s="147">
        <f t="shared" si="4"/>
        <v>0</v>
      </c>
      <c r="H12" s="147">
        <f t="shared" si="4"/>
        <v>0</v>
      </c>
      <c r="I12" s="147">
        <f t="shared" si="4"/>
        <v>0</v>
      </c>
      <c r="J12" s="147">
        <f t="shared" si="4"/>
        <v>0</v>
      </c>
      <c r="K12" s="147">
        <f t="shared" si="4"/>
        <v>0</v>
      </c>
    </row>
    <row r="13" spans="1:11" s="38" customFormat="1" ht="15" customHeight="1">
      <c r="A13" s="298" t="s">
        <v>162</v>
      </c>
      <c r="B13" s="299" t="s">
        <v>128</v>
      </c>
      <c r="C13" s="407"/>
      <c r="D13" s="419">
        <f>50000+275000+50000</f>
        <v>375000</v>
      </c>
      <c r="E13" s="413"/>
      <c r="F13" s="147"/>
      <c r="G13" s="147"/>
      <c r="H13" s="147"/>
      <c r="I13" s="147"/>
      <c r="J13" s="147"/>
      <c r="K13" s="147"/>
    </row>
    <row r="14" spans="1:11" s="38" customFormat="1" ht="15" customHeight="1">
      <c r="A14" s="298" t="s">
        <v>163</v>
      </c>
      <c r="B14" s="299" t="s">
        <v>129</v>
      </c>
      <c r="C14" s="407"/>
      <c r="D14" s="419">
        <f>90000+120000+190000+225000+120000+400000+60000</f>
        <v>1205000</v>
      </c>
      <c r="E14" s="413"/>
      <c r="F14" s="147"/>
      <c r="G14" s="147"/>
      <c r="H14" s="147"/>
      <c r="I14" s="147"/>
      <c r="J14" s="147"/>
      <c r="K14" s="147"/>
    </row>
    <row r="15" spans="1:11" s="38" customFormat="1" ht="38.25">
      <c r="A15" s="298" t="s">
        <v>164</v>
      </c>
      <c r="B15" s="299" t="s">
        <v>494</v>
      </c>
      <c r="C15" s="407"/>
      <c r="D15" s="419">
        <f>200000+75000+300000</f>
        <v>575000</v>
      </c>
      <c r="E15" s="413"/>
      <c r="F15" s="147"/>
      <c r="G15" s="147"/>
      <c r="H15" s="147"/>
      <c r="I15" s="147"/>
      <c r="J15" s="147"/>
      <c r="K15" s="147"/>
    </row>
    <row r="16" spans="1:11" s="45" customFormat="1" ht="22.5" customHeight="1">
      <c r="A16" s="43" t="s">
        <v>70</v>
      </c>
      <c r="B16" s="52" t="s">
        <v>487</v>
      </c>
      <c r="C16" s="408">
        <f aca="true" t="shared" si="5" ref="C16:K16">C17+C23</f>
        <v>0</v>
      </c>
      <c r="D16" s="420">
        <f t="shared" si="5"/>
        <v>1479740</v>
      </c>
      <c r="E16" s="414">
        <f t="shared" si="5"/>
        <v>946247</v>
      </c>
      <c r="F16" s="148">
        <f t="shared" si="5"/>
        <v>881153</v>
      </c>
      <c r="G16" s="148">
        <f t="shared" si="5"/>
        <v>571804</v>
      </c>
      <c r="H16" s="148">
        <f t="shared" si="5"/>
        <v>432028</v>
      </c>
      <c r="I16" s="148">
        <f t="shared" si="5"/>
        <v>417252</v>
      </c>
      <c r="J16" s="148">
        <f t="shared" si="5"/>
        <v>402476</v>
      </c>
      <c r="K16" s="148">
        <f t="shared" si="5"/>
        <v>391590</v>
      </c>
    </row>
    <row r="17" spans="1:11" s="45" customFormat="1" ht="15" customHeight="1">
      <c r="A17" s="43" t="s">
        <v>123</v>
      </c>
      <c r="B17" s="52" t="s">
        <v>488</v>
      </c>
      <c r="C17" s="409">
        <f aca="true" t="shared" si="6" ref="C17:K17">SUM(C18:C22)</f>
        <v>0</v>
      </c>
      <c r="D17" s="421">
        <f t="shared" si="6"/>
        <v>1294740</v>
      </c>
      <c r="E17" s="415">
        <f t="shared" si="6"/>
        <v>829160</v>
      </c>
      <c r="F17" s="149">
        <f t="shared" si="6"/>
        <v>797040</v>
      </c>
      <c r="G17" s="149">
        <f t="shared" si="6"/>
        <v>513840</v>
      </c>
      <c r="H17" s="149">
        <f t="shared" si="6"/>
        <v>388840</v>
      </c>
      <c r="I17" s="149">
        <f t="shared" si="6"/>
        <v>388840</v>
      </c>
      <c r="J17" s="149">
        <f t="shared" si="6"/>
        <v>388840</v>
      </c>
      <c r="K17" s="149">
        <f t="shared" si="6"/>
        <v>388840</v>
      </c>
    </row>
    <row r="18" spans="1:11" s="38" customFormat="1" ht="15" customHeight="1">
      <c r="A18" s="298" t="s">
        <v>156</v>
      </c>
      <c r="B18" s="299" t="s">
        <v>479</v>
      </c>
      <c r="C18" s="407"/>
      <c r="D18" s="419">
        <f>261540</f>
        <v>261540</v>
      </c>
      <c r="E18" s="413">
        <f>260960+125000</f>
        <v>385960</v>
      </c>
      <c r="F18" s="147">
        <f>125000+180440+48400</f>
        <v>353840</v>
      </c>
      <c r="G18" s="147">
        <f>228840+125000</f>
        <v>353840</v>
      </c>
      <c r="H18" s="147">
        <v>228840</v>
      </c>
      <c r="I18" s="147">
        <v>228840</v>
      </c>
      <c r="J18" s="147">
        <v>228840</v>
      </c>
      <c r="K18" s="147">
        <v>228840</v>
      </c>
    </row>
    <row r="19" spans="1:11" s="38" customFormat="1" ht="15" customHeight="1">
      <c r="A19" s="298" t="s">
        <v>157</v>
      </c>
      <c r="B19" s="299" t="s">
        <v>129</v>
      </c>
      <c r="C19" s="407"/>
      <c r="D19" s="419">
        <f>150000+133200+90000+85000</f>
        <v>458200</v>
      </c>
      <c r="E19" s="413">
        <f>150000+133200+160000</f>
        <v>443200</v>
      </c>
      <c r="F19" s="147">
        <f>133200+150000+160000</f>
        <v>443200</v>
      </c>
      <c r="G19" s="147">
        <f>160000</f>
        <v>160000</v>
      </c>
      <c r="H19" s="147">
        <f>160000</f>
        <v>160000</v>
      </c>
      <c r="I19" s="147">
        <v>160000</v>
      </c>
      <c r="J19" s="147">
        <v>160000</v>
      </c>
      <c r="K19" s="147">
        <v>160000</v>
      </c>
    </row>
    <row r="20" spans="1:11" s="38" customFormat="1" ht="14.25" customHeight="1">
      <c r="A20" s="298" t="s">
        <v>158</v>
      </c>
      <c r="B20" s="299" t="s">
        <v>167</v>
      </c>
      <c r="C20" s="407"/>
      <c r="D20" s="419"/>
      <c r="E20" s="413"/>
      <c r="F20" s="147"/>
      <c r="G20" s="147"/>
      <c r="H20" s="147"/>
      <c r="I20" s="147"/>
      <c r="J20" s="147"/>
      <c r="K20" s="147"/>
    </row>
    <row r="21" spans="1:11" s="38" customFormat="1" ht="15" customHeight="1">
      <c r="A21" s="298" t="s">
        <v>478</v>
      </c>
      <c r="B21" s="299" t="s">
        <v>166</v>
      </c>
      <c r="C21" s="407"/>
      <c r="D21" s="419"/>
      <c r="E21" s="413"/>
      <c r="F21" s="147"/>
      <c r="G21" s="147"/>
      <c r="H21" s="147"/>
      <c r="I21" s="147"/>
      <c r="J21" s="147"/>
      <c r="K21" s="147"/>
    </row>
    <row r="22" spans="1:11" s="38" customFormat="1" ht="38.25">
      <c r="A22" s="298" t="s">
        <v>489</v>
      </c>
      <c r="B22" s="299" t="s">
        <v>494</v>
      </c>
      <c r="C22" s="407"/>
      <c r="D22" s="419">
        <v>575000</v>
      </c>
      <c r="E22" s="413"/>
      <c r="F22" s="147"/>
      <c r="G22" s="147"/>
      <c r="H22" s="147"/>
      <c r="I22" s="147"/>
      <c r="J22" s="147"/>
      <c r="K22" s="147"/>
    </row>
    <row r="23" spans="1:11" s="301" customFormat="1" ht="14.25" customHeight="1">
      <c r="A23" s="43" t="s">
        <v>124</v>
      </c>
      <c r="B23" s="297" t="s">
        <v>165</v>
      </c>
      <c r="C23" s="407"/>
      <c r="D23" s="419">
        <v>185000</v>
      </c>
      <c r="E23" s="413">
        <v>117087</v>
      </c>
      <c r="F23" s="147">
        <v>84113</v>
      </c>
      <c r="G23" s="147">
        <v>57964</v>
      </c>
      <c r="H23" s="147">
        <v>43188</v>
      </c>
      <c r="I23" s="147">
        <v>28412</v>
      </c>
      <c r="J23" s="147">
        <v>13636</v>
      </c>
      <c r="K23" s="147">
        <v>2750</v>
      </c>
    </row>
    <row r="24" spans="1:11" s="45" customFormat="1" ht="22.5" customHeight="1">
      <c r="A24" s="43" t="s">
        <v>71</v>
      </c>
      <c r="B24" s="52" t="s">
        <v>130</v>
      </c>
      <c r="C24" s="407"/>
      <c r="D24" s="419">
        <f>1!G154</f>
        <v>21210689</v>
      </c>
      <c r="E24" s="413">
        <f>1!L154+500000</f>
        <v>13319217</v>
      </c>
      <c r="F24" s="147">
        <f aca="true" t="shared" si="7" ref="F24:K25">E24*1.02</f>
        <v>13585601.34</v>
      </c>
      <c r="G24" s="147">
        <f t="shared" si="7"/>
        <v>13857313.3668</v>
      </c>
      <c r="H24" s="147">
        <f t="shared" si="7"/>
        <v>14134459.634136</v>
      </c>
      <c r="I24" s="147">
        <f t="shared" si="7"/>
        <v>14417148.826818721</v>
      </c>
      <c r="J24" s="147">
        <f t="shared" si="7"/>
        <v>14705491.803355096</v>
      </c>
      <c r="K24" s="147">
        <f t="shared" si="7"/>
        <v>14999601.639422199</v>
      </c>
    </row>
    <row r="25" spans="1:11" s="57" customFormat="1" ht="22.5" customHeight="1">
      <c r="A25" s="43" t="s">
        <v>58</v>
      </c>
      <c r="B25" s="52" t="s">
        <v>142</v>
      </c>
      <c r="C25" s="407"/>
      <c r="D25" s="419">
        <f>2!F102</f>
        <v>22070949</v>
      </c>
      <c r="E25" s="413">
        <f>2!H102+2000000</f>
        <v>12989449</v>
      </c>
      <c r="F25" s="147">
        <f t="shared" si="7"/>
        <v>13249237.98</v>
      </c>
      <c r="G25" s="147">
        <f t="shared" si="7"/>
        <v>13514222.7396</v>
      </c>
      <c r="H25" s="147">
        <f t="shared" si="7"/>
        <v>13784507.194392001</v>
      </c>
      <c r="I25" s="147">
        <f t="shared" si="7"/>
        <v>14060197.338279841</v>
      </c>
      <c r="J25" s="147">
        <f t="shared" si="7"/>
        <v>14341401.28504544</v>
      </c>
      <c r="K25" s="147">
        <f t="shared" si="7"/>
        <v>14628229.310746348</v>
      </c>
    </row>
    <row r="26" spans="1:11" s="57" customFormat="1" ht="22.5" customHeight="1">
      <c r="A26" s="43" t="s">
        <v>75</v>
      </c>
      <c r="B26" s="52" t="s">
        <v>143</v>
      </c>
      <c r="C26" s="407"/>
      <c r="D26" s="419">
        <f aca="true" t="shared" si="8" ref="D26:K26">D24-D25</f>
        <v>-860260</v>
      </c>
      <c r="E26" s="413">
        <f t="shared" si="8"/>
        <v>329768</v>
      </c>
      <c r="F26" s="147">
        <f t="shared" si="8"/>
        <v>336363.3599999994</v>
      </c>
      <c r="G26" s="147">
        <f t="shared" si="8"/>
        <v>343090.6272</v>
      </c>
      <c r="H26" s="147">
        <f t="shared" si="8"/>
        <v>349952.4397439994</v>
      </c>
      <c r="I26" s="147">
        <f t="shared" si="8"/>
        <v>356951.4885388799</v>
      </c>
      <c r="J26" s="147">
        <f t="shared" si="8"/>
        <v>364090.51830965653</v>
      </c>
      <c r="K26" s="147">
        <f t="shared" si="8"/>
        <v>371372.3286758512</v>
      </c>
    </row>
    <row r="27" spans="1:11" s="45" customFormat="1" ht="22.5" customHeight="1">
      <c r="A27" s="43" t="s">
        <v>78</v>
      </c>
      <c r="B27" s="52" t="s">
        <v>131</v>
      </c>
      <c r="C27" s="407"/>
      <c r="D27" s="419"/>
      <c r="E27" s="413"/>
      <c r="F27" s="147"/>
      <c r="G27" s="147"/>
      <c r="H27" s="147"/>
      <c r="I27" s="147"/>
      <c r="J27" s="147"/>
      <c r="K27" s="147"/>
    </row>
    <row r="28" spans="1:11" s="38" customFormat="1" ht="15" customHeight="1">
      <c r="A28" s="43" t="s">
        <v>168</v>
      </c>
      <c r="B28" s="52" t="s">
        <v>491</v>
      </c>
      <c r="C28" s="410"/>
      <c r="D28" s="422">
        <f>(D7-D15+D22)/D24</f>
        <v>0.17422347760603157</v>
      </c>
      <c r="E28" s="416">
        <f aca="true" t="shared" si="9" ref="E28:K28">(E7)/E24</f>
        <v>0.21519583320851368</v>
      </c>
      <c r="F28" s="302">
        <f t="shared" si="9"/>
        <v>0.1523083114405593</v>
      </c>
      <c r="G28" s="302">
        <f t="shared" si="9"/>
        <v>0.11224109312028724</v>
      </c>
      <c r="H28" s="302">
        <f t="shared" si="9"/>
        <v>0.08253021552962297</v>
      </c>
      <c r="I28" s="302">
        <f t="shared" si="9"/>
        <v>0.05394131733962285</v>
      </c>
      <c r="J28" s="302">
        <f t="shared" si="9"/>
        <v>0.02644182222530532</v>
      </c>
      <c r="K28" s="302">
        <f t="shared" si="9"/>
        <v>0</v>
      </c>
    </row>
    <row r="29" spans="1:11" s="38" customFormat="1" ht="28.5" customHeight="1">
      <c r="A29" s="43" t="s">
        <v>169</v>
      </c>
      <c r="B29" s="52" t="s">
        <v>492</v>
      </c>
      <c r="C29" s="410"/>
      <c r="D29" s="422">
        <f aca="true" t="shared" si="10" ref="D29:K29">(D7-D11-D15+D22)/D24</f>
        <v>0.17422347760603157</v>
      </c>
      <c r="E29" s="416">
        <f t="shared" si="10"/>
        <v>0.21519583320851368</v>
      </c>
      <c r="F29" s="302">
        <f t="shared" si="10"/>
        <v>0.1523083114405593</v>
      </c>
      <c r="G29" s="302">
        <f t="shared" si="10"/>
        <v>0.11224109312028724</v>
      </c>
      <c r="H29" s="302">
        <f t="shared" si="10"/>
        <v>0.08253021552962297</v>
      </c>
      <c r="I29" s="302">
        <f t="shared" si="10"/>
        <v>0.05394131733962285</v>
      </c>
      <c r="J29" s="302">
        <f t="shared" si="10"/>
        <v>0.02644182222530532</v>
      </c>
      <c r="K29" s="302">
        <f t="shared" si="10"/>
        <v>0</v>
      </c>
    </row>
    <row r="30" spans="1:11" s="38" customFormat="1" ht="15" customHeight="1">
      <c r="A30" s="43" t="s">
        <v>170</v>
      </c>
      <c r="B30" s="52" t="s">
        <v>172</v>
      </c>
      <c r="C30" s="410"/>
      <c r="D30" s="422">
        <f aca="true" t="shared" si="11" ref="D30:K30">D16/D24</f>
        <v>0.06976388178620695</v>
      </c>
      <c r="E30" s="416">
        <f t="shared" si="11"/>
        <v>0.07104374078446203</v>
      </c>
      <c r="F30" s="302">
        <f t="shared" si="11"/>
        <v>0.06485932995881653</v>
      </c>
      <c r="G30" s="302">
        <f t="shared" si="11"/>
        <v>0.04126369844315961</v>
      </c>
      <c r="H30" s="302">
        <f t="shared" si="11"/>
        <v>0.03056558306315533</v>
      </c>
      <c r="I30" s="302">
        <f t="shared" si="11"/>
        <v>0.028941367326654043</v>
      </c>
      <c r="J30" s="302">
        <f t="shared" si="11"/>
        <v>0.027369094851229257</v>
      </c>
      <c r="K30" s="302">
        <f t="shared" si="11"/>
        <v>0.026106693325162498</v>
      </c>
    </row>
    <row r="31" spans="1:11" s="38" customFormat="1" ht="16.5" customHeight="1" thickBot="1">
      <c r="A31" s="43" t="s">
        <v>171</v>
      </c>
      <c r="B31" s="52" t="s">
        <v>496</v>
      </c>
      <c r="C31" s="410"/>
      <c r="D31" s="423">
        <f>(D16-D22)/D24</f>
        <v>0.04265490856991963</v>
      </c>
      <c r="E31" s="416">
        <f aca="true" t="shared" si="12" ref="E31:K31">(E16-E22)/E24</f>
        <v>0.07104374078446203</v>
      </c>
      <c r="F31" s="302">
        <f t="shared" si="12"/>
        <v>0.06485932995881653</v>
      </c>
      <c r="G31" s="302">
        <f t="shared" si="12"/>
        <v>0.04126369844315961</v>
      </c>
      <c r="H31" s="302">
        <f t="shared" si="12"/>
        <v>0.03056558306315533</v>
      </c>
      <c r="I31" s="302">
        <f t="shared" si="12"/>
        <v>0.028941367326654043</v>
      </c>
      <c r="J31" s="302">
        <f t="shared" si="12"/>
        <v>0.027369094851229257</v>
      </c>
      <c r="K31" s="302">
        <f t="shared" si="12"/>
        <v>0.026106693325162498</v>
      </c>
    </row>
    <row r="33" ht="12.75">
      <c r="B33" s="44" t="s">
        <v>472</v>
      </c>
    </row>
  </sheetData>
  <mergeCells count="5">
    <mergeCell ref="A2:K2"/>
    <mergeCell ref="A4:A5"/>
    <mergeCell ref="B4:B5"/>
    <mergeCell ref="C4:C5"/>
    <mergeCell ref="D4:K4"/>
  </mergeCells>
  <printOptions horizontalCentered="1" verticalCentered="1"/>
  <pageMargins left="0.2" right="0.19" top="0.74" bottom="0.21" header="0.34" footer="0.16"/>
  <pageSetup fitToHeight="1" fitToWidth="1" horizontalDpi="600" verticalDpi="600" orientation="landscape" paperSize="9" scale="85" r:id="rId1"/>
  <headerFooter alignWithMargins="0">
    <oddHeader>&amp;R&amp;"Arial CE,Pogrubiony"Załącznik nr &amp;A&amp;"Arial CE,Standardowy"&amp;9
do Uchwały Rady Gminy w Miłkowicach Nr  ....................
z dnia ......................... roku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showGridLines="0" defaultGridColor="0" colorId="8" workbookViewId="0" topLeftCell="A1">
      <selection activeCell="A1" sqref="A1:H1"/>
    </sheetView>
  </sheetViews>
  <sheetFormatPr defaultColWidth="9.00390625" defaultRowHeight="12.75"/>
  <cols>
    <col min="1" max="1" width="5.625" style="1" bestFit="1" customWidth="1"/>
    <col min="2" max="2" width="8.875" style="1" bestFit="1" customWidth="1"/>
    <col min="3" max="3" width="14.25390625" style="1" customWidth="1"/>
    <col min="4" max="4" width="14.875" style="1" customWidth="1"/>
    <col min="5" max="5" width="13.625" style="1" customWidth="1"/>
    <col min="6" max="6" width="15.625" style="0" customWidth="1"/>
    <col min="7" max="7" width="12.25390625" style="0" customWidth="1"/>
    <col min="8" max="8" width="15.875" style="0" customWidth="1"/>
  </cols>
  <sheetData>
    <row r="1" spans="1:8" ht="48.75" customHeight="1">
      <c r="A1" s="865" t="s">
        <v>504</v>
      </c>
      <c r="B1" s="865"/>
      <c r="C1" s="865"/>
      <c r="D1" s="865"/>
      <c r="E1" s="865"/>
      <c r="F1" s="865"/>
      <c r="G1" s="865"/>
      <c r="H1" s="865"/>
    </row>
    <row r="2" ht="12.75">
      <c r="H2" s="9" t="s">
        <v>97</v>
      </c>
    </row>
    <row r="3" spans="1:8" s="3" customFormat="1" ht="20.25" customHeight="1">
      <c r="A3" s="821" t="s">
        <v>59</v>
      </c>
      <c r="B3" s="866" t="s">
        <v>60</v>
      </c>
      <c r="C3" s="864" t="s">
        <v>135</v>
      </c>
      <c r="D3" s="864" t="s">
        <v>394</v>
      </c>
      <c r="E3" s="864" t="s">
        <v>120</v>
      </c>
      <c r="F3" s="864"/>
      <c r="G3" s="864"/>
      <c r="H3" s="864"/>
    </row>
    <row r="4" spans="1:8" s="3" customFormat="1" ht="20.25" customHeight="1">
      <c r="A4" s="821"/>
      <c r="B4" s="867"/>
      <c r="C4" s="821"/>
      <c r="D4" s="864"/>
      <c r="E4" s="864" t="s">
        <v>133</v>
      </c>
      <c r="F4" s="864" t="s">
        <v>63</v>
      </c>
      <c r="G4" s="864"/>
      <c r="H4" s="864" t="s">
        <v>134</v>
      </c>
    </row>
    <row r="5" spans="1:8" s="3" customFormat="1" ht="65.25" customHeight="1">
      <c r="A5" s="821"/>
      <c r="B5" s="868"/>
      <c r="C5" s="821"/>
      <c r="D5" s="864"/>
      <c r="E5" s="864"/>
      <c r="F5" s="16" t="s">
        <v>393</v>
      </c>
      <c r="G5" s="16" t="s">
        <v>150</v>
      </c>
      <c r="H5" s="864"/>
    </row>
    <row r="6" spans="1:8" ht="9" customHeight="1">
      <c r="A6" s="18">
        <v>1</v>
      </c>
      <c r="B6" s="18">
        <v>2</v>
      </c>
      <c r="C6" s="18">
        <v>4</v>
      </c>
      <c r="D6" s="18">
        <v>5</v>
      </c>
      <c r="E6" s="18">
        <v>6</v>
      </c>
      <c r="F6" s="18">
        <v>7</v>
      </c>
      <c r="G6" s="18">
        <v>8</v>
      </c>
      <c r="H6" s="18">
        <v>9</v>
      </c>
    </row>
    <row r="7" spans="1:8" ht="19.5" customHeight="1">
      <c r="A7" s="19">
        <v>750</v>
      </c>
      <c r="B7" s="19">
        <v>75011</v>
      </c>
      <c r="C7" s="113">
        <v>66678</v>
      </c>
      <c r="D7" s="116">
        <f aca="true" t="shared" si="0" ref="D7:D13">E7+H7</f>
        <v>66678</v>
      </c>
      <c r="E7" s="113">
        <v>66678</v>
      </c>
      <c r="F7" s="113">
        <v>66678</v>
      </c>
      <c r="G7" s="113"/>
      <c r="H7" s="113"/>
    </row>
    <row r="8" spans="1:8" ht="19.5" customHeight="1">
      <c r="A8" s="20">
        <v>751</v>
      </c>
      <c r="B8" s="20">
        <v>75101</v>
      </c>
      <c r="C8" s="84">
        <v>1020</v>
      </c>
      <c r="D8" s="84">
        <f t="shared" si="0"/>
        <v>1020</v>
      </c>
      <c r="E8" s="84">
        <f>F8</f>
        <v>1020</v>
      </c>
      <c r="F8" s="84">
        <v>1020</v>
      </c>
      <c r="G8" s="84"/>
      <c r="H8" s="84"/>
    </row>
    <row r="9" spans="1:8" ht="19.5" customHeight="1">
      <c r="A9" s="20">
        <v>752</v>
      </c>
      <c r="B9" s="20">
        <v>75212</v>
      </c>
      <c r="C9" s="84">
        <v>500</v>
      </c>
      <c r="D9" s="84">
        <f t="shared" si="0"/>
        <v>500</v>
      </c>
      <c r="E9" s="84">
        <v>500</v>
      </c>
      <c r="F9" s="84"/>
      <c r="G9" s="84"/>
      <c r="H9" s="84"/>
    </row>
    <row r="10" spans="1:8" ht="19.5" customHeight="1">
      <c r="A10" s="20">
        <v>754</v>
      </c>
      <c r="B10" s="20">
        <v>75414</v>
      </c>
      <c r="C10" s="84">
        <v>1000</v>
      </c>
      <c r="D10" s="84">
        <f t="shared" si="0"/>
        <v>1000</v>
      </c>
      <c r="E10" s="84">
        <v>1000</v>
      </c>
      <c r="F10" s="84"/>
      <c r="G10" s="84"/>
      <c r="H10" s="84"/>
    </row>
    <row r="11" spans="1:8" ht="19.5" customHeight="1">
      <c r="A11" s="20">
        <v>852</v>
      </c>
      <c r="B11" s="20">
        <v>85212</v>
      </c>
      <c r="C11" s="84">
        <v>1599000</v>
      </c>
      <c r="D11" s="84">
        <f t="shared" si="0"/>
        <v>1599000</v>
      </c>
      <c r="E11" s="84">
        <f>F11+G11+1000+1000+719+1713+700+700</f>
        <v>1599000</v>
      </c>
      <c r="F11" s="84">
        <f>33155+2500+5609+17043+874</f>
        <v>59181</v>
      </c>
      <c r="G11" s="84">
        <v>1533987</v>
      </c>
      <c r="H11" s="84"/>
    </row>
    <row r="12" spans="1:8" ht="19.5" customHeight="1">
      <c r="A12" s="20">
        <v>852</v>
      </c>
      <c r="B12" s="20">
        <v>85213</v>
      </c>
      <c r="C12" s="84">
        <v>20000</v>
      </c>
      <c r="D12" s="84">
        <f t="shared" si="0"/>
        <v>20000</v>
      </c>
      <c r="E12" s="84">
        <f>F12+G12</f>
        <v>20000</v>
      </c>
      <c r="F12" s="84">
        <v>20000</v>
      </c>
      <c r="G12" s="84"/>
      <c r="H12" s="84"/>
    </row>
    <row r="13" spans="1:8" ht="19.5" customHeight="1">
      <c r="A13" s="20">
        <v>852</v>
      </c>
      <c r="B13" s="20">
        <v>85214</v>
      </c>
      <c r="C13" s="84">
        <v>200000</v>
      </c>
      <c r="D13" s="84">
        <f t="shared" si="0"/>
        <v>200000</v>
      </c>
      <c r="E13" s="84">
        <f>F13+G13</f>
        <v>200000</v>
      </c>
      <c r="F13" s="84"/>
      <c r="G13" s="84">
        <v>200000</v>
      </c>
      <c r="H13" s="84"/>
    </row>
    <row r="14" spans="1:8" ht="19.5" customHeight="1">
      <c r="A14" s="862" t="s">
        <v>141</v>
      </c>
      <c r="B14" s="863"/>
      <c r="C14" s="115">
        <f aca="true" t="shared" si="1" ref="C14:H14">SUM(C7:C13)</f>
        <v>1888198</v>
      </c>
      <c r="D14" s="115">
        <f t="shared" si="1"/>
        <v>1888198</v>
      </c>
      <c r="E14" s="115">
        <f t="shared" si="1"/>
        <v>1888198</v>
      </c>
      <c r="F14" s="115">
        <f t="shared" si="1"/>
        <v>146879</v>
      </c>
      <c r="G14" s="115">
        <f t="shared" si="1"/>
        <v>1733987</v>
      </c>
      <c r="H14" s="115">
        <f t="shared" si="1"/>
        <v>0</v>
      </c>
    </row>
    <row r="16" ht="12.75">
      <c r="A16" s="58"/>
    </row>
    <row r="17" ht="12.75">
      <c r="B17" s="44" t="s">
        <v>472</v>
      </c>
    </row>
  </sheetData>
  <mergeCells count="10">
    <mergeCell ref="A1:H1"/>
    <mergeCell ref="E4:E5"/>
    <mergeCell ref="C3:C5"/>
    <mergeCell ref="D3:D5"/>
    <mergeCell ref="A3:A5"/>
    <mergeCell ref="B3:B5"/>
    <mergeCell ref="A14:B14"/>
    <mergeCell ref="F4:G4"/>
    <mergeCell ref="H4:H5"/>
    <mergeCell ref="E3:H3"/>
  </mergeCells>
  <printOptions horizontalCentered="1"/>
  <pageMargins left="0.5511811023622047" right="0.5511811023622047" top="1.39" bottom="0.3937007874015748" header="0.5118110236220472" footer="0.5118110236220472"/>
  <pageSetup horizontalDpi="300" verticalDpi="300" orientation="landscape" paperSize="9" scale="90" r:id="rId1"/>
  <headerFooter alignWithMargins="0">
    <oddHeader>&amp;R&amp;"Arial CE,Pogrubiony"Załącznik nr &amp;A&amp;"Arial CE,Standardowy"
doUchwały Rady Gminy w Miłkowicach Nr ...............
z dnia ..............................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16"/>
  <sheetViews>
    <sheetView showGridLines="0" workbookViewId="0" topLeftCell="A1">
      <selection activeCell="D4" sqref="C4:D6"/>
    </sheetView>
  </sheetViews>
  <sheetFormatPr defaultColWidth="9.00390625" defaultRowHeight="12.75"/>
  <cols>
    <col min="1" max="1" width="7.25390625" style="1" customWidth="1"/>
    <col min="2" max="2" width="9.00390625" style="1" customWidth="1"/>
    <col min="3" max="3" width="6.625" style="1" customWidth="1"/>
    <col min="4" max="4" width="39.125" style="1" customWidth="1"/>
    <col min="5" max="5" width="12.625" style="1" customWidth="1"/>
    <col min="6" max="6" width="13.125" style="1" customWidth="1"/>
    <col min="7" max="7" width="12.875" style="1" customWidth="1"/>
    <col min="73" max="16384" width="9.125" style="1" customWidth="1"/>
  </cols>
  <sheetData>
    <row r="1" spans="1:7" ht="45" customHeight="1">
      <c r="A1" s="865" t="s">
        <v>501</v>
      </c>
      <c r="B1" s="865"/>
      <c r="C1" s="865"/>
      <c r="D1" s="865"/>
      <c r="E1" s="865"/>
      <c r="F1" s="865"/>
      <c r="G1" s="865"/>
    </row>
    <row r="2" spans="1:7" ht="15.75">
      <c r="A2" s="12"/>
      <c r="B2" s="12"/>
      <c r="C2" s="12"/>
      <c r="D2" s="12"/>
      <c r="E2" s="12"/>
      <c r="F2" s="12"/>
      <c r="G2" s="12"/>
    </row>
    <row r="3" spans="1:7" ht="13.5" customHeight="1">
      <c r="A3" s="5"/>
      <c r="B3" s="5"/>
      <c r="C3" s="5"/>
      <c r="D3" s="5"/>
      <c r="E3" s="5"/>
      <c r="F3" s="5"/>
      <c r="G3" s="51" t="s">
        <v>97</v>
      </c>
    </row>
    <row r="4" spans="1:7" ht="20.25" customHeight="1">
      <c r="A4" s="821" t="s">
        <v>59</v>
      </c>
      <c r="B4" s="866" t="s">
        <v>60</v>
      </c>
      <c r="C4" s="866" t="s">
        <v>61</v>
      </c>
      <c r="D4" s="866" t="s">
        <v>57</v>
      </c>
      <c r="E4" s="864" t="s">
        <v>502</v>
      </c>
      <c r="F4" s="864" t="s">
        <v>503</v>
      </c>
      <c r="G4" s="864" t="s">
        <v>283</v>
      </c>
    </row>
    <row r="5" spans="1:7" ht="18" customHeight="1">
      <c r="A5" s="821"/>
      <c r="B5" s="867"/>
      <c r="C5" s="867"/>
      <c r="D5" s="867"/>
      <c r="E5" s="821"/>
      <c r="F5" s="864"/>
      <c r="G5" s="864"/>
    </row>
    <row r="6" spans="1:7" ht="69" customHeight="1">
      <c r="A6" s="821"/>
      <c r="B6" s="868"/>
      <c r="C6" s="868"/>
      <c r="D6" s="868"/>
      <c r="E6" s="821"/>
      <c r="F6" s="864"/>
      <c r="G6" s="864"/>
    </row>
    <row r="7" spans="1:7" ht="8.25" customHeight="1">
      <c r="A7" s="18">
        <v>1</v>
      </c>
      <c r="B7" s="18">
        <v>2</v>
      </c>
      <c r="C7" s="18">
        <v>3</v>
      </c>
      <c r="D7" s="18"/>
      <c r="E7" s="18">
        <v>4</v>
      </c>
      <c r="F7" s="18">
        <v>5</v>
      </c>
      <c r="G7" s="18">
        <v>6</v>
      </c>
    </row>
    <row r="8" spans="1:7" ht="25.5">
      <c r="A8" s="29">
        <v>750</v>
      </c>
      <c r="B8" s="29">
        <v>75023</v>
      </c>
      <c r="C8" s="133" t="s">
        <v>188</v>
      </c>
      <c r="D8" s="134" t="s">
        <v>411</v>
      </c>
      <c r="E8" s="113">
        <v>25000</v>
      </c>
      <c r="F8" s="113">
        <v>7000</v>
      </c>
      <c r="G8" s="137">
        <f>F8/E8</f>
        <v>0.28</v>
      </c>
    </row>
    <row r="9" spans="1:7" ht="38.25">
      <c r="A9" s="30">
        <v>852</v>
      </c>
      <c r="B9" s="30">
        <v>85212</v>
      </c>
      <c r="C9" s="75" t="s">
        <v>182</v>
      </c>
      <c r="D9" s="135" t="s">
        <v>414</v>
      </c>
      <c r="E9" s="84">
        <v>3000</v>
      </c>
      <c r="F9" s="84">
        <v>4000</v>
      </c>
      <c r="G9" s="323">
        <f>F9/E9</f>
        <v>1.3333333333333333</v>
      </c>
    </row>
    <row r="10" spans="1:7" ht="19.5" customHeight="1">
      <c r="A10" s="20"/>
      <c r="B10" s="20"/>
      <c r="C10" s="20"/>
      <c r="D10" s="20"/>
      <c r="E10" s="84"/>
      <c r="F10" s="84"/>
      <c r="G10" s="138"/>
    </row>
    <row r="11" spans="1:7" ht="19.5" customHeight="1">
      <c r="A11" s="20"/>
      <c r="B11" s="20"/>
      <c r="C11" s="20"/>
      <c r="D11" s="20"/>
      <c r="E11" s="84"/>
      <c r="F11" s="84"/>
      <c r="G11" s="138"/>
    </row>
    <row r="12" spans="1:7" ht="19.5" customHeight="1">
      <c r="A12" s="21"/>
      <c r="B12" s="21"/>
      <c r="C12" s="21"/>
      <c r="D12" s="21"/>
      <c r="E12" s="114"/>
      <c r="F12" s="114"/>
      <c r="G12" s="139"/>
    </row>
    <row r="13" spans="1:7" ht="24.75" customHeight="1">
      <c r="A13" s="862" t="s">
        <v>141</v>
      </c>
      <c r="B13" s="863"/>
      <c r="C13" s="863"/>
      <c r="D13" s="863"/>
      <c r="E13" s="136">
        <f>SUM(E8:E12)</f>
        <v>28000</v>
      </c>
      <c r="F13" s="136">
        <f>SUM(F8:F12)</f>
        <v>11000</v>
      </c>
      <c r="G13" s="140">
        <f>F13/E13</f>
        <v>0.39285714285714285</v>
      </c>
    </row>
    <row r="15" ht="12.75">
      <c r="A15" s="58"/>
    </row>
    <row r="16" ht="12.75">
      <c r="B16" s="44" t="s">
        <v>472</v>
      </c>
    </row>
  </sheetData>
  <mergeCells count="9">
    <mergeCell ref="A13:D13"/>
    <mergeCell ref="C4:C6"/>
    <mergeCell ref="E4:E6"/>
    <mergeCell ref="A1:G1"/>
    <mergeCell ref="F4:F6"/>
    <mergeCell ref="A4:A6"/>
    <mergeCell ref="B4:B6"/>
    <mergeCell ref="G4:G6"/>
    <mergeCell ref="D4:D6"/>
  </mergeCells>
  <printOptions horizontalCentered="1"/>
  <pageMargins left="0.5905511811023623" right="0.5905511811023623" top="1.08" bottom="0.3937007874015748" header="0.5118110236220472" footer="0.5118110236220472"/>
  <pageSetup horizontalDpi="600" verticalDpi="600" orientation="landscape" paperSize="9" scale="90" r:id="rId1"/>
  <headerFooter alignWithMargins="0">
    <oddHeader>&amp;R&amp;"Arial CE,Pogrubiony"Załącznik nr &amp;A&amp;"Arial CE,Standardowy"
do Uchwały Rady Gminy w Miłkowicach Nr ...............
z dnia ..............................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ug</cp:lastModifiedBy>
  <cp:lastPrinted>2007-11-19T11:21:28Z</cp:lastPrinted>
  <dcterms:created xsi:type="dcterms:W3CDTF">1998-12-09T13:02:10Z</dcterms:created>
  <dcterms:modified xsi:type="dcterms:W3CDTF">2007-11-27T08:46:23Z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